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6030" tabRatio="754" activeTab="7"/>
  </bookViews>
  <sheets>
    <sheet name="Deckblatt" sheetId="1" r:id="rId1"/>
    <sheet name="Inhalt" sheetId="2" r:id="rId2"/>
    <sheet name="BAB" sheetId="3" r:id="rId3"/>
    <sheet name="Kalkulation" sheetId="4" r:id="rId4"/>
    <sheet name="Anlage 1" sheetId="5" r:id="rId5"/>
    <sheet name="Anlage 2" sheetId="6" r:id="rId6"/>
    <sheet name="Anlage 3" sheetId="7" r:id="rId7"/>
    <sheet name="Anlage 4" sheetId="8" r:id="rId8"/>
  </sheets>
  <definedNames>
    <definedName name="_xlnm.Print_Area" localSheetId="2">'BAB'!$A$1:$K$48</definedName>
    <definedName name="_xlnm.Print_Titles" localSheetId="3">'Kalkulation'!$1:$1</definedName>
  </definedNames>
  <calcPr fullCalcOnLoad="1"/>
</workbook>
</file>

<file path=xl/comments3.xml><?xml version="1.0" encoding="utf-8"?>
<comments xmlns="http://schemas.openxmlformats.org/spreadsheetml/2006/main">
  <authors>
    <author>Mitarbeiter</author>
  </authors>
  <commentList>
    <comment ref="J20" authorId="0">
      <text>
        <r>
          <rPr>
            <b/>
            <sz val="8"/>
            <rFont val="Tahoma"/>
            <family val="0"/>
          </rPr>
          <t>-0,01€
Rundungsdifferenz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Mitarbeiter</author>
  </authors>
  <commentList>
    <comment ref="D55" authorId="0">
      <text>
        <r>
          <rPr>
            <b/>
            <sz val="8"/>
            <rFont val="Tahoma"/>
            <family val="0"/>
          </rPr>
          <t xml:space="preserve">-0,01€ Rundungsausgleich
</t>
        </r>
      </text>
    </comment>
  </commentList>
</comments>
</file>

<file path=xl/comments8.xml><?xml version="1.0" encoding="utf-8"?>
<comments xmlns="http://schemas.openxmlformats.org/spreadsheetml/2006/main">
  <authors>
    <author>Mitarbeiter</author>
  </authors>
  <commentList>
    <comment ref="F34" authorId="0">
      <text>
        <r>
          <rPr>
            <sz val="8"/>
            <rFont val="Tahoma"/>
            <family val="0"/>
          </rPr>
          <t>+0,01%
Rundungsausgleich</t>
        </r>
      </text>
    </comment>
  </commentList>
</comments>
</file>

<file path=xl/sharedStrings.xml><?xml version="1.0" encoding="utf-8"?>
<sst xmlns="http://schemas.openxmlformats.org/spreadsheetml/2006/main" count="1007" uniqueCount="483">
  <si>
    <t>A.</t>
  </si>
  <si>
    <t>Stadtreinigung Reinigungsklasse 1 "Fußgängerzone"</t>
  </si>
  <si>
    <t>I.</t>
  </si>
  <si>
    <t>Kosten</t>
  </si>
  <si>
    <t>1.</t>
  </si>
  <si>
    <t>UGr 67900</t>
  </si>
  <si>
    <t>Innere Verrechnungen</t>
  </si>
  <si>
    <t>davon:</t>
  </si>
  <si>
    <t>h</t>
  </si>
  <si>
    <t>zuzüglich:</t>
  </si>
  <si>
    <t>Sachkosten</t>
  </si>
  <si>
    <t>Gemeinkosten</t>
  </si>
  <si>
    <t>Technikkosten</t>
  </si>
  <si>
    <t>Stunden</t>
  </si>
  <si>
    <t>VW Taro</t>
  </si>
  <si>
    <t xml:space="preserve">davon: </t>
  </si>
  <si>
    <t>Umlage</t>
  </si>
  <si>
    <t>Erläuterung siehe Anlage 4</t>
  </si>
  <si>
    <t>Personalkosten Meister Bauhof</t>
  </si>
  <si>
    <t>1 Meister, Verg. VIb</t>
  </si>
  <si>
    <t>kalkulatorische Personalkosten der Verwaltung</t>
  </si>
  <si>
    <t>ZS:</t>
  </si>
  <si>
    <t>II.</t>
  </si>
  <si>
    <t>Einnahmen</t>
  </si>
  <si>
    <t>UGr 28006</t>
  </si>
  <si>
    <t>Zuführung vom Vermögenshaushalt</t>
  </si>
  <si>
    <t>Entnahme aus der Sonderrücklage</t>
  </si>
  <si>
    <t>a)</t>
  </si>
  <si>
    <t>umlagefähige Fm</t>
  </si>
  <si>
    <t>b)</t>
  </si>
  <si>
    <t>./. 25% Stadtanteil</t>
  </si>
  <si>
    <t>c)</t>
  </si>
  <si>
    <t>Umzulegen durch Straßenreinigungsgebühren</t>
  </si>
  <si>
    <t>d)</t>
  </si>
  <si>
    <t>e)</t>
  </si>
  <si>
    <t>f)</t>
  </si>
  <si>
    <t>nicht umlagefähige Fm</t>
  </si>
  <si>
    <t>g)</t>
  </si>
  <si>
    <t>III.</t>
  </si>
  <si>
    <t>Gebühren</t>
  </si>
  <si>
    <t>UGr 11200</t>
  </si>
  <si>
    <t>Benutzungsgebühren lt. Ortssatzung</t>
  </si>
  <si>
    <t>zu veranlagende</t>
  </si>
  <si>
    <t>Gebühr je Fm</t>
  </si>
  <si>
    <t>Gebührenein-</t>
  </si>
  <si>
    <t>Frontmeter</t>
  </si>
  <si>
    <t>nahmen ges.</t>
  </si>
  <si>
    <t>Fußgängerzone</t>
  </si>
  <si>
    <t>h)</t>
  </si>
  <si>
    <t>B.</t>
  </si>
  <si>
    <t>Winterdienst Reinigungsklasse 1 "Fußgängerzone"</t>
  </si>
  <si>
    <t>UGr 55100</t>
  </si>
  <si>
    <t>Wartung und Reparatur Winterdiensttechnik</t>
  </si>
  <si>
    <t>UGr 57000</t>
  </si>
  <si>
    <t>Verbrauchsmittel (Kies, Salz, Granulat)</t>
  </si>
  <si>
    <t>2.</t>
  </si>
  <si>
    <t>2.1</t>
  </si>
  <si>
    <t>manuelle Reinigung</t>
  </si>
  <si>
    <t>1 AK</t>
  </si>
  <si>
    <t>h gesamt</t>
  </si>
  <si>
    <t>2.2.</t>
  </si>
  <si>
    <t>Personalkosten Kraftfahrer, Lgr. 4a</t>
  </si>
  <si>
    <t>2.3.</t>
  </si>
  <si>
    <t>2.4.</t>
  </si>
  <si>
    <t>3.</t>
  </si>
  <si>
    <t>UGr 68000</t>
  </si>
  <si>
    <t xml:space="preserve">Abschreibungen des Anlagevermögens </t>
  </si>
  <si>
    <t>für Maschinen und Fahrzeuge</t>
  </si>
  <si>
    <t>UGr 68500</t>
  </si>
  <si>
    <t>Verzinsung des Anlagevermögens</t>
  </si>
  <si>
    <t>C.</t>
  </si>
  <si>
    <t>Stadtreinigung Reinigungsklasse 2 "wöchentliche Reinigung" und</t>
  </si>
  <si>
    <t>Stadtreinigung Reinigungsklasse 3 "14-tägige Reinigung"</t>
  </si>
  <si>
    <t>UGr 53300</t>
  </si>
  <si>
    <t>Unterhaltung Kehrmaschine</t>
  </si>
  <si>
    <t>UGr 55200</t>
  </si>
  <si>
    <t>Dieselkraftstoff</t>
  </si>
  <si>
    <t>UGr 55300</t>
  </si>
  <si>
    <t>Öl-und Schmierstoffe</t>
  </si>
  <si>
    <t>UGr 55400</t>
  </si>
  <si>
    <t>UGr 58900</t>
  </si>
  <si>
    <t>2.1.</t>
  </si>
  <si>
    <t>Personalkosten Fahrer Traktor "John Deere", Lgr.4a</t>
  </si>
  <si>
    <t>1 Fahrer</t>
  </si>
  <si>
    <t xml:space="preserve">Traktor </t>
  </si>
  <si>
    <t>manuelle Reinigung der Parkbuchten</t>
  </si>
  <si>
    <t xml:space="preserve">Radlader </t>
  </si>
  <si>
    <t>cbm x</t>
  </si>
  <si>
    <t>Berechnung: Grundlage Äqivalenzziffernkalkulation</t>
  </si>
  <si>
    <t>RK 2</t>
  </si>
  <si>
    <t>=</t>
  </si>
  <si>
    <t>Fm</t>
  </si>
  <si>
    <t>RK 3</t>
  </si>
  <si>
    <t xml:space="preserve">Recheneinheit </t>
  </si>
  <si>
    <t>Ermittlung der Kosten pro Recheneinheit :</t>
  </si>
  <si>
    <t>ist gleich</t>
  </si>
  <si>
    <t>Ausgaben der RK 2+3=</t>
  </si>
  <si>
    <t>je Recheneinheit</t>
  </si>
  <si>
    <t>x</t>
  </si>
  <si>
    <t xml:space="preserve">x </t>
  </si>
  <si>
    <t>ermittelte Gesamtkosten</t>
  </si>
  <si>
    <t>Übertrag: ermittelte Gesamtkosten</t>
  </si>
  <si>
    <t>Rundungsdifferenz</t>
  </si>
  <si>
    <t xml:space="preserve">bei  </t>
  </si>
  <si>
    <t>zu veranlagende Frontmeter (Fm) der RK 2</t>
  </si>
  <si>
    <t>Umzulegen durch Straßenreinigungsgebühren (entspr. Sp.k)</t>
  </si>
  <si>
    <t>zu veranlagende Frontmeter (Fm) der RK 3</t>
  </si>
  <si>
    <t>Umzulegen durch Straßenreinigungsgebühren (entsp. Sp.l)</t>
  </si>
  <si>
    <t>i)</t>
  </si>
  <si>
    <t>j)</t>
  </si>
  <si>
    <t>k)</t>
  </si>
  <si>
    <t>l)</t>
  </si>
  <si>
    <t>D.</t>
  </si>
  <si>
    <t>Winterdienst Reinigungsklasse 2,3 und 4</t>
  </si>
  <si>
    <t xml:space="preserve">manuelle Streuung von Brücken, Fußgängerüberwegen, </t>
  </si>
  <si>
    <t>Geh-und Radwegen (hier kann aufgrund der Unzugäng-</t>
  </si>
  <si>
    <t>lichkeit keine Technik zum Einsatz kommen)</t>
  </si>
  <si>
    <t>2 AK</t>
  </si>
  <si>
    <t>Streuung mit Großtechnik</t>
  </si>
  <si>
    <t>Reparatur und Wartung der Winterdiensttechnik</t>
  </si>
  <si>
    <t>Personalkosten Meister Grünflächen</t>
  </si>
  <si>
    <t>1 Opel</t>
  </si>
  <si>
    <t>TF-W 261</t>
  </si>
  <si>
    <t>1 Multicar</t>
  </si>
  <si>
    <t>TF-U 752</t>
  </si>
  <si>
    <t>TF-W 257</t>
  </si>
  <si>
    <t>TF-W 255</t>
  </si>
  <si>
    <t>TF-W 256</t>
  </si>
  <si>
    <t>TF-W 977</t>
  </si>
  <si>
    <t>Mobilbagger</t>
  </si>
  <si>
    <t xml:space="preserve">bei </t>
  </si>
  <si>
    <t xml:space="preserve">zu veranlagende Frontmeter </t>
  </si>
  <si>
    <t>RK 2, 3 und 4</t>
  </si>
  <si>
    <t>E.</t>
  </si>
  <si>
    <t>Kehrung Ausfahrtstraßen und Sonderleistungen</t>
  </si>
  <si>
    <t>umlagefähige Kosten</t>
  </si>
  <si>
    <t>nicht umlagefähige</t>
  </si>
  <si>
    <t>F.</t>
  </si>
  <si>
    <t>Fremdleistungen</t>
  </si>
  <si>
    <t>umlagefähige Kosten lt. Rechnungslegung</t>
  </si>
  <si>
    <t>Euro</t>
  </si>
  <si>
    <t>bei</t>
  </si>
  <si>
    <t xml:space="preserve">zu veranlagende Frontmeter (Fm)                  </t>
  </si>
  <si>
    <t xml:space="preserve">Frontmeter x </t>
  </si>
  <si>
    <t>(Äquivalenzziffer für wöchentlichen Einsatz)</t>
  </si>
  <si>
    <t xml:space="preserve">(Äquivalenzziffer für 14-tägigen Einsatz)     </t>
  </si>
  <si>
    <t xml:space="preserve">manuelle Streuungen </t>
  </si>
  <si>
    <t>Vorbereitung Streumaterial</t>
  </si>
  <si>
    <t>Streugut-Beladung</t>
  </si>
  <si>
    <t>2.1.1.</t>
  </si>
  <si>
    <t>2.1.2.</t>
  </si>
  <si>
    <t>2.1.3.</t>
  </si>
  <si>
    <t>TF-W 252</t>
  </si>
  <si>
    <t>Technikunterstützte Streuung</t>
  </si>
  <si>
    <t>2.2.1.</t>
  </si>
  <si>
    <t>2.2.2.</t>
  </si>
  <si>
    <t>Reinigung der selbstständigen Radwege und Parkbuchten 15 km</t>
  </si>
  <si>
    <t>maschinelle Streuungen</t>
  </si>
  <si>
    <t>Streuungen mit mittlerer Technik</t>
  </si>
  <si>
    <t>ZL 602</t>
  </si>
  <si>
    <t xml:space="preserve">1 Traktor </t>
  </si>
  <si>
    <t>"J.D." 855</t>
  </si>
  <si>
    <t>"J.D." 955</t>
  </si>
  <si>
    <t>Umlage durch Straßenreinigungsgebühren (Sp.f entsp. Sp. h)</t>
  </si>
  <si>
    <t>€</t>
  </si>
  <si>
    <t>EUR</t>
  </si>
  <si>
    <t>Euro/h</t>
  </si>
  <si>
    <t>Multicar</t>
  </si>
  <si>
    <t>UGr 57200</t>
  </si>
  <si>
    <t>Vergabe der Streuung von Bushaltestellen</t>
  </si>
  <si>
    <t>4.</t>
  </si>
  <si>
    <t>Ausgaben für Dienstleistungen durch Dritte</t>
  </si>
  <si>
    <t>Echo-Laubsauger</t>
  </si>
  <si>
    <t>Unter-</t>
  </si>
  <si>
    <t xml:space="preserve">                 Bezeichnung</t>
  </si>
  <si>
    <t>Jahresdurch-</t>
  </si>
  <si>
    <t>antlg.  auf Jahreswert</t>
  </si>
  <si>
    <t>abschnitt</t>
  </si>
  <si>
    <t>schnittswert</t>
  </si>
  <si>
    <t>%</t>
  </si>
  <si>
    <t>Jahresbruttowert</t>
  </si>
  <si>
    <t>10% Sachkosten</t>
  </si>
  <si>
    <t>02000</t>
  </si>
  <si>
    <t>Sachkosten für Tul</t>
  </si>
  <si>
    <t>20% Gemeinkosten</t>
  </si>
  <si>
    <t>Steueramt Besoldungsgruppe A 10</t>
  </si>
  <si>
    <t>03000</t>
  </si>
  <si>
    <t>03100</t>
  </si>
  <si>
    <t>gesamt in Euro</t>
  </si>
  <si>
    <t xml:space="preserve"> Umlagewerte *</t>
  </si>
  <si>
    <t>Gesamt</t>
  </si>
  <si>
    <t>Anteil Straßenreinigung (90%)</t>
  </si>
  <si>
    <t>Anteil Winterdienst (10%)</t>
  </si>
  <si>
    <t>gesamt</t>
  </si>
  <si>
    <t>RK 1</t>
  </si>
  <si>
    <t>RK 2+3</t>
  </si>
  <si>
    <t>RK 2+3+4</t>
  </si>
  <si>
    <t xml:space="preserve">UGr 68000 Abschreibungen </t>
  </si>
  <si>
    <t xml:space="preserve">UGr 68500 Verzinsungen </t>
  </si>
  <si>
    <t>(Maschinen und Fahrzeuge ausschließlich Winterdienst)</t>
  </si>
  <si>
    <t>Vermögens-</t>
  </si>
  <si>
    <t>Maschinen-bzw.Fahrzeugtyp</t>
  </si>
  <si>
    <t xml:space="preserve">poliz. </t>
  </si>
  <si>
    <t>gruppen-Nr.</t>
  </si>
  <si>
    <t>Kennz.</t>
  </si>
  <si>
    <t>Abschreibungen</t>
  </si>
  <si>
    <t>Verzinsung</t>
  </si>
  <si>
    <t>lt. Anlagenachweis</t>
  </si>
  <si>
    <t>(AW : 2 x 4,5%)</t>
  </si>
  <si>
    <t>lt. Gebührenbedarfsnachberechnung:</t>
  </si>
  <si>
    <t>Anlage</t>
  </si>
  <si>
    <t>32300/1</t>
  </si>
  <si>
    <t>City-Mix Mischanlage zur Aufbereitung der Sole-Lösung</t>
  </si>
  <si>
    <t>-</t>
  </si>
  <si>
    <t>32300/2</t>
  </si>
  <si>
    <t>Förderband TA Kraf</t>
  </si>
  <si>
    <t>34400/2</t>
  </si>
  <si>
    <t>automatischer Streuaufsatz</t>
  </si>
  <si>
    <t>34400/3</t>
  </si>
  <si>
    <t>vollautomatisches Streugerät</t>
  </si>
  <si>
    <t>34400/4</t>
  </si>
  <si>
    <t>3 Schneepflüge</t>
  </si>
  <si>
    <t>34400/5</t>
  </si>
  <si>
    <t>Epoke Aufsatztellerstreuer</t>
  </si>
  <si>
    <t>34400/6</t>
  </si>
  <si>
    <t>Kehrmaschine 1,5m, mechan. Antrieb mit Gelenkwelle- nur in Verbindung mit Fahrzeug "John Deere"</t>
  </si>
  <si>
    <t>34400/7</t>
  </si>
  <si>
    <t>Einscheibenstreuer für "J.D."</t>
  </si>
  <si>
    <t>34400/8</t>
  </si>
  <si>
    <t>Zusatzeinrichtung für P 800H - Epoke-Befeuchtungsanlage für Feuchtsalzeinrichtung</t>
  </si>
  <si>
    <t>34400/9</t>
  </si>
  <si>
    <t>Federklappenschneepflug</t>
  </si>
  <si>
    <t>34400/10</t>
  </si>
  <si>
    <t>LKW-Aufsatztellerstreuer m. Servoset 13 u. Zusatzteilen</t>
  </si>
  <si>
    <t>34400/11</t>
  </si>
  <si>
    <t>Epoke-Aufsatztellerstreuer</t>
  </si>
  <si>
    <t>34400/12</t>
  </si>
  <si>
    <t>Epoke-Federklappenschneepf.</t>
  </si>
  <si>
    <t>34400/13</t>
  </si>
  <si>
    <t>34400/14</t>
  </si>
  <si>
    <t>Schneepflug</t>
  </si>
  <si>
    <t>Anteil Straßenreinigung (0%)</t>
  </si>
  <si>
    <t>Winterdienst (100%)</t>
  </si>
  <si>
    <t>Erläuterungen zu den prozentualen Umlagen</t>
  </si>
  <si>
    <t>Umlageschlüssel Stadtreinigung - Winterdienst:</t>
  </si>
  <si>
    <t xml:space="preserve">Stadtreinigung: </t>
  </si>
  <si>
    <t>Winterdienst:</t>
  </si>
  <si>
    <t>Umlageschlüssel nach Frontmetern:</t>
  </si>
  <si>
    <t xml:space="preserve">Straßenreinigung </t>
  </si>
  <si>
    <t>Winterdienst</t>
  </si>
  <si>
    <t>(A)</t>
  </si>
  <si>
    <t>(C)</t>
  </si>
  <si>
    <t>(B)</t>
  </si>
  <si>
    <t>(D)</t>
  </si>
  <si>
    <t>betrifft</t>
  </si>
  <si>
    <t xml:space="preserve">- Unterhaltung Winterdiensttechnik </t>
  </si>
  <si>
    <t>Umlage nur für Winterdienst</t>
  </si>
  <si>
    <t xml:space="preserve">- Verbrauchsmaterial wie Kies, Granulat, Salz </t>
  </si>
  <si>
    <t>- Postgebühren und Bürobedarf</t>
  </si>
  <si>
    <t>Umlage für Stadtrein. und Winterd.</t>
  </si>
  <si>
    <t>- kalkulatorische Personalkosten der Verwaltung (Anlage 1)</t>
  </si>
  <si>
    <t>Umlageschlüssel für Betriebskosten der Kehrmaschine nach Betriebsstunden:</t>
  </si>
  <si>
    <t>Betriebsstunden</t>
  </si>
  <si>
    <t>Arbeitsstunden gesamt</t>
  </si>
  <si>
    <t>abzgl. Ausfall Winter bedingt</t>
  </si>
  <si>
    <t>abzgl. Ausfall wegen Reparatur und Wetterbedingungen</t>
  </si>
  <si>
    <t xml:space="preserve">abzgl. freie Kapazität </t>
  </si>
  <si>
    <t>Betriebsstunden gesamt</t>
  </si>
  <si>
    <t xml:space="preserve">Stadtreinigung RK 2+3 </t>
  </si>
  <si>
    <t>Winterdienst RK 2+3+4</t>
  </si>
  <si>
    <t>Kehrung Ausfahrtstraßen u. Sonderleistungen</t>
  </si>
  <si>
    <t>(E)</t>
  </si>
  <si>
    <t>(F)</t>
  </si>
  <si>
    <t>- Leasingleistungen</t>
  </si>
  <si>
    <t>UGr 55101</t>
  </si>
  <si>
    <t>- Unterhaltung Kehrmaschine</t>
  </si>
  <si>
    <t>- Dieselkraftstoff</t>
  </si>
  <si>
    <t>- Öl-und Schmierstoffe</t>
  </si>
  <si>
    <t>- Kfz.-Versicherung und Steuern</t>
  </si>
  <si>
    <t>- Hausgebühren (Deponiekosten u.a. für Kehrgut)</t>
  </si>
  <si>
    <t>- Werkstattkosten Kehrmaschine</t>
  </si>
  <si>
    <t>- Wasserkosten (Auftanken und Reinigung der Kehrmaschine)</t>
  </si>
  <si>
    <t>I n h a l t s v e r z e i c h n i s</t>
  </si>
  <si>
    <t>Seite 01</t>
  </si>
  <si>
    <t>Seite 02</t>
  </si>
  <si>
    <t>B. Winterdienst Reinigungsklasse 1 "Fußgängerzone"</t>
  </si>
  <si>
    <t>D. Winterdienst Reinigungsklasse 2,3 und 4</t>
  </si>
  <si>
    <t>Seite 11</t>
  </si>
  <si>
    <t>E. Kehrung Ausfahrtstraßen und Sonderleistungen</t>
  </si>
  <si>
    <t>Seite 12</t>
  </si>
  <si>
    <t xml:space="preserve">   </t>
  </si>
  <si>
    <t>F. Fremdleistungen</t>
  </si>
  <si>
    <t>Anlage 1: UGr 67900 Innere Verrechnungen</t>
  </si>
  <si>
    <t>(kalkulatorische Personalkosten der Verwaltung)</t>
  </si>
  <si>
    <t>(Maschinen und Fahrzeuge)</t>
  </si>
  <si>
    <t>C. Stadtreinigung Reinigungsklasse 2 "wöchentliche Reinigung" und</t>
  </si>
  <si>
    <t>Reinigungsklasse 3 "14-tägige Reinigung"</t>
  </si>
  <si>
    <t>A. Stadtreinigung Reinigungsklasse 1 "Fußgängerzone"</t>
  </si>
  <si>
    <t>Postgebühren und Bürobedarf</t>
  </si>
  <si>
    <t>UGr 67900 Innere Verrechnungen (kalkulatorische Kosten der Verwaltung)</t>
  </si>
  <si>
    <t>kalkulatorische Kosten der Verwaltung</t>
  </si>
  <si>
    <t>Kassenamt Verg.VII (1AK je 0,06 VbE)</t>
  </si>
  <si>
    <t>* prozentuale Umlageschlüssel siehe Anlage 3</t>
  </si>
  <si>
    <t>(in EURO)</t>
  </si>
  <si>
    <t>Personalkosten Handreinigung/Laubsauger</t>
  </si>
  <si>
    <t>1 Arbeiter, Lgr. 2a</t>
  </si>
  <si>
    <t>Personalkosten Handarbeitskraft, Lgr. 2a</t>
  </si>
  <si>
    <t>Transporter</t>
  </si>
  <si>
    <t>TF-YH31</t>
  </si>
  <si>
    <t>Personalkosten Schlosser, Lgr. 5a</t>
  </si>
  <si>
    <t>gesamt:</t>
  </si>
  <si>
    <t>(8 h wöchentlich x 50 Wochen)</t>
  </si>
  <si>
    <t>1 Meister, Verg. Vc</t>
  </si>
  <si>
    <t>Personalkosten Handarbeitskraft, Lgr. 3a</t>
  </si>
  <si>
    <t>Personalkosten Streu-und Räumtechnik, Lgr. 5a</t>
  </si>
  <si>
    <t xml:space="preserve">2 AK </t>
  </si>
  <si>
    <t>TF-WB 51</t>
  </si>
  <si>
    <t>Personalkosten Streu-und Räumtechnik, Lgr. 4a</t>
  </si>
  <si>
    <t xml:space="preserve">6 AK </t>
  </si>
  <si>
    <t>Personalkosten Beladetechnik, Lgr. 5a</t>
  </si>
  <si>
    <t xml:space="preserve"> </t>
  </si>
  <si>
    <t>Vorbereitung Streumaterial, Lgr. 5a</t>
  </si>
  <si>
    <t>siehe Anlage 1</t>
  </si>
  <si>
    <t>Personalkosten incl. Sach-und Gemeinkosten, Postgebühren und Bürobedarf</t>
  </si>
  <si>
    <t>Euro/Jahr</t>
  </si>
  <si>
    <t>UA 67500 "Straßenreinigung"</t>
  </si>
  <si>
    <t>I.  A u s g a b e n   (in Euro)</t>
  </si>
  <si>
    <t>Untergruppe</t>
  </si>
  <si>
    <t>Bezeichnung</t>
  </si>
  <si>
    <t>Anteil Stadtreinigung</t>
  </si>
  <si>
    <t>Anteil Winterdienst</t>
  </si>
  <si>
    <t>Anteil Kehrung</t>
  </si>
  <si>
    <t>Anteil Fremd-</t>
  </si>
  <si>
    <t>Ausfahrtstraßen</t>
  </si>
  <si>
    <t>leistungen</t>
  </si>
  <si>
    <t>und Sonderreinigung</t>
  </si>
  <si>
    <t>(Sp. 6+9+12+13)</t>
  </si>
  <si>
    <t xml:space="preserve"> (Sp.7+8)</t>
  </si>
  <si>
    <t xml:space="preserve"> (Sp.10+11)</t>
  </si>
  <si>
    <t xml:space="preserve">UA   63000 </t>
  </si>
  <si>
    <t>UA 77100</t>
  </si>
  <si>
    <t xml:space="preserve"> 1.</t>
  </si>
  <si>
    <t xml:space="preserve"> 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</si>
  <si>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</si>
  <si>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</si>
  <si>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</si>
  <si>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</si>
  <si>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</si>
  <si>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</si>
  <si>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</si>
  <si>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</si>
  <si>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</si>
  <si>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</t>
  </si>
  <si>
    <t>C</t>
  </si>
  <si>
    <t>B</t>
  </si>
  <si>
    <t>D</t>
  </si>
  <si>
    <t>E</t>
  </si>
  <si>
    <t>F</t>
  </si>
  <si>
    <t>lfd. Leasingleistungen</t>
  </si>
  <si>
    <t>Wartung u. Rep. Winterdiensttechnik</t>
  </si>
  <si>
    <t>VK und DK</t>
  </si>
  <si>
    <t>Kfz.-Versicherung</t>
  </si>
  <si>
    <t>Verbrauchsmittel</t>
  </si>
  <si>
    <t>Hausgebühren</t>
  </si>
  <si>
    <t xml:space="preserve">Innere Verrechnungen </t>
  </si>
  <si>
    <t>II.  E i n n a h m e n  (in Euro)</t>
  </si>
  <si>
    <t>Anteil Stadt-</t>
  </si>
  <si>
    <t>Anteil Winter-</t>
  </si>
  <si>
    <t>reinigung</t>
  </si>
  <si>
    <t>Kostenträger</t>
  </si>
  <si>
    <t>dienst ges.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</si>
  <si>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</si>
  <si>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</si>
  <si>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</si>
  <si>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</si>
  <si>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</si>
  <si>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</si>
  <si>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11.</t>
  </si>
  <si>
    <t>lt. Gebührenbedarfsberechnung:</t>
  </si>
  <si>
    <t>Benutzungsgebühren</t>
  </si>
  <si>
    <t>lt. Ortssatzung</t>
  </si>
  <si>
    <t>davon: -25% Kostenbeteili-</t>
  </si>
  <si>
    <t>gung durch die Stadt Luk (UA 63000)</t>
  </si>
  <si>
    <t>- Rundungsdifferenzen     (UA 63000)</t>
  </si>
  <si>
    <t>- Kostenbeteiligung durch die Stadt</t>
  </si>
  <si>
    <t xml:space="preserve">  für städt. Grundstücke   (UA 63000)</t>
  </si>
  <si>
    <t>- Fremdleistungen   (Einn. UA 77100)</t>
  </si>
  <si>
    <t>Zuführung vom VmH</t>
  </si>
  <si>
    <t>Aufgestellt:</t>
  </si>
  <si>
    <t>.............................................................................</t>
  </si>
  <si>
    <t>Vergabe der Reinigung an Sonntagen</t>
  </si>
  <si>
    <t>€ =</t>
  </si>
  <si>
    <t>Sonntage a</t>
  </si>
  <si>
    <t>siehe Anlage 2</t>
  </si>
  <si>
    <t>á</t>
  </si>
  <si>
    <t>Einsatzstunden</t>
  </si>
  <si>
    <t>Stundenwert</t>
  </si>
  <si>
    <t>div. AK LGr. 5a</t>
  </si>
  <si>
    <t>Betriebskosten gesamt</t>
  </si>
  <si>
    <t>Öl- und Schmierstoffe</t>
  </si>
  <si>
    <t>Kfz-Versicherung und -steuern</t>
  </si>
  <si>
    <t>770 t  á  32,62 Euro/t  =  25.117,40 Euro</t>
  </si>
  <si>
    <t>Innere Verrechnungen:</t>
  </si>
  <si>
    <t>div. AK LGr. 4a</t>
  </si>
  <si>
    <t>1.1  Fahrer</t>
  </si>
  <si>
    <t>1.2  Werkstatt / Personalkosten Schlosser</t>
  </si>
  <si>
    <t>1.3  Wasserkosten</t>
  </si>
  <si>
    <t>2.  Ablagerung Straßenkehricht (zur Entwässerung)</t>
  </si>
  <si>
    <t>2.1  Fahrer Radlader</t>
  </si>
  <si>
    <t>2.2  Handarbeitskraft</t>
  </si>
  <si>
    <t>div. AK LGr. 1a</t>
  </si>
  <si>
    <t>2.3  Technikkosten</t>
  </si>
  <si>
    <t>Radlader</t>
  </si>
  <si>
    <t>Gesamtwert</t>
  </si>
  <si>
    <t>Straßenreinigung RK 2+3</t>
  </si>
  <si>
    <t>Winterdienst                     RK 2+3+4</t>
  </si>
  <si>
    <t>Kehrung Ausfahrt- straßen und Sonder-leistungen</t>
  </si>
  <si>
    <t>Umlage Betriebskosten der Kehrmaschine</t>
  </si>
  <si>
    <t>Hausgebühren (Deponiekosten u.a. für Kehrgut):</t>
  </si>
  <si>
    <t>lfd. Leasingleistungen der Kehrmaschine:</t>
  </si>
  <si>
    <t>siehe Anlage 3</t>
  </si>
  <si>
    <t xml:space="preserve">Kosten Kehrmaschine </t>
  </si>
  <si>
    <t>Betriebs-, Personal-, Werkstatt- und Wasserkosten, Ablagerung</t>
  </si>
  <si>
    <t>des Straßenkehrichts</t>
  </si>
  <si>
    <t>div. UGr</t>
  </si>
  <si>
    <t>J.D. 855</t>
  </si>
  <si>
    <t>UGr 46100</t>
  </si>
  <si>
    <t>Bereitschaftsdienst</t>
  </si>
  <si>
    <t>5.1.</t>
  </si>
  <si>
    <t>5.1.1.</t>
  </si>
  <si>
    <t>5.1.1.1.</t>
  </si>
  <si>
    <t>5.2.</t>
  </si>
  <si>
    <t>5.2.1.</t>
  </si>
  <si>
    <t>5.2.1.1.</t>
  </si>
  <si>
    <t>5.2.1.2.</t>
  </si>
  <si>
    <t>5.2.2.</t>
  </si>
  <si>
    <t>5.2.2.1.</t>
  </si>
  <si>
    <t>5.2.3.</t>
  </si>
  <si>
    <t>5.2.3.1.</t>
  </si>
  <si>
    <t>5.2.4.</t>
  </si>
  <si>
    <t>5.2.4.1.</t>
  </si>
  <si>
    <t>5.2.4.2.</t>
  </si>
  <si>
    <t>5.3.</t>
  </si>
  <si>
    <t>5.4.</t>
  </si>
  <si>
    <t>5.6.</t>
  </si>
  <si>
    <t>5.7.</t>
  </si>
  <si>
    <t>Transp.</t>
  </si>
  <si>
    <t>MAN</t>
  </si>
  <si>
    <t>MB</t>
  </si>
  <si>
    <t>Zwischensumme</t>
  </si>
  <si>
    <t>Seite 03</t>
  </si>
  <si>
    <t>Seite 04-05</t>
  </si>
  <si>
    <t>Seite 06-07</t>
  </si>
  <si>
    <t>Seite 08</t>
  </si>
  <si>
    <t>Seite 09</t>
  </si>
  <si>
    <t>Seite 10</t>
  </si>
  <si>
    <t>Anlage 4: Erläuterungen zu den prozentualen Umlagen</t>
  </si>
  <si>
    <t>Anlage 3: UGr 68000 Abschreibungen und UGr 68500 Verzinsung</t>
  </si>
  <si>
    <t>Anlage 2: div. Ugr. Betriebskosten Kehrmaschine</t>
  </si>
  <si>
    <t>Ugr. 67900</t>
  </si>
  <si>
    <t xml:space="preserve">€ </t>
  </si>
  <si>
    <t>Rundungsdifferenz (Sp.f ./. d)</t>
  </si>
  <si>
    <t>Rundungsdifferenz (Sp. k ./. d)</t>
  </si>
  <si>
    <t>Rundungsdifferenz (Sp. l ./. i)</t>
  </si>
  <si>
    <t>Umlageschlüssel siehe Anlage 4</t>
  </si>
  <si>
    <t>Steueramt Verg.VIb (1AK je 0,10 VbE)</t>
  </si>
  <si>
    <t>Kämmerei Verg.Vc (1AK je 0,25 VbE)</t>
  </si>
  <si>
    <t>Plan 2006</t>
  </si>
  <si>
    <t>Kosten 2006 insgesamt (Sp.c + e + f + g)</t>
  </si>
  <si>
    <t>Kosten  2006  insgesamt</t>
  </si>
  <si>
    <t>TF-YH38</t>
  </si>
  <si>
    <t>Bauverwaltung VIb (1AK je 0,20 VbE)</t>
  </si>
  <si>
    <t>Boese / SB 20.1</t>
  </si>
  <si>
    <t>RK 2 - Kosten 2006 insgesamt (Sp.c - e)</t>
  </si>
  <si>
    <t>RK 3 - Kosten 2006 insgesamt (Sp.h - j)</t>
  </si>
  <si>
    <t xml:space="preserve">Kosten 2006 insgesamt </t>
  </si>
  <si>
    <t xml:space="preserve">Gebührenbedarfsberechnung 2006 </t>
  </si>
  <si>
    <t xml:space="preserve">Gebührenbedarfsberechnung
der Straßenreinigungsgebühren
der Stadt Luckenwalde
2006
</t>
  </si>
  <si>
    <t>Gebührenbedarfsberechnung 2006</t>
  </si>
  <si>
    <t>Kosten 2006 insgesamt (ohne Winterdienst)</t>
  </si>
  <si>
    <t>abzüglich Kosten 2006 insgesamt</t>
  </si>
  <si>
    <t>Gebührenbedarfsberechnung UA 675 "Straßenreinigung" 2006</t>
  </si>
  <si>
    <t>12 Raten á  2.086,67 Euro  =25.040,04 Euro</t>
  </si>
</sst>
</file>

<file path=xl/styles.xml><?xml version="1.0" encoding="utf-8"?>
<styleSheet xmlns="http://schemas.openxmlformats.org/spreadsheetml/2006/main">
  <numFmts count="1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 DM&quot;#,##0_);\(&quot; DM&quot;#,##0\)"/>
    <numFmt numFmtId="177" formatCode="&quot; DM&quot;#,##0_);[Red]\(&quot; DM&quot;#,##0\)"/>
    <numFmt numFmtId="178" formatCode="&quot; DM&quot;#,##0.00_);\(&quot; DM&quot;#,##0.00\)"/>
    <numFmt numFmtId="179" formatCode="&quot; DM&quot;#,##0.00_);[Red]\(&quot; DM&quot;#,##0.00\)"/>
    <numFmt numFmtId="180" formatCode="dd\.mm\.yyyy"/>
    <numFmt numFmtId="181" formatCode="d\-mmm\-yy"/>
    <numFmt numFmtId="182" formatCode="d\-mmm"/>
    <numFmt numFmtId="183" formatCode="mmm\-yy"/>
    <numFmt numFmtId="184" formatCode="hh:mm\ \+\-/\Pm"/>
    <numFmt numFmtId="185" formatCode="hh:mm:ss\ \+\-/\Pm"/>
    <numFmt numFmtId="186" formatCode="m/d/yy\ hh:mm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&quot; DM&quot;#,##0.0_);\(&quot; DM&quot;#,##0.0\)"/>
    <numFmt numFmtId="194" formatCode="&quot; DM&quot;#,##0.000_);\(&quot; DM&quot;#,##0.000\)"/>
    <numFmt numFmtId="195" formatCode="&quot; DM&quot;#,##0.0000_);\(&quot; DM&quot;#,##0.0000\)"/>
    <numFmt numFmtId="196" formatCode="&quot; DM&quot;#,##0.00000_);\(&quot; DM&quot;#,##0.00000\)"/>
    <numFmt numFmtId="197" formatCode="&quot; DM&quot;#,##0.000000_);\(&quot; DM&quot;#,##0.000000\)"/>
    <numFmt numFmtId="198" formatCode="&quot; DM&quot;#,##0.0000000_);\(&quot; DM&quot;#,##0.0000000\)"/>
    <numFmt numFmtId="199" formatCode="#,##0.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0.0%"/>
    <numFmt numFmtId="206" formatCode="0.000%"/>
    <numFmt numFmtId="207" formatCode="0.0000%"/>
    <numFmt numFmtId="208" formatCode="0.00000%"/>
    <numFmt numFmtId="209" formatCode="0.000000%"/>
    <numFmt numFmtId="210" formatCode="0.0000000%"/>
    <numFmt numFmtId="211" formatCode="0E+00"/>
    <numFmt numFmtId="212" formatCode="0.0E+00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0"/>
    <numFmt numFmtId="219" formatCode="000"/>
    <numFmt numFmtId="220" formatCode="0000"/>
    <numFmt numFmtId="221" formatCode="00000"/>
    <numFmt numFmtId="222" formatCode="000000"/>
    <numFmt numFmtId="223" formatCode="0000000"/>
    <numFmt numFmtId="224" formatCode="00000000"/>
    <numFmt numFmtId="225" formatCode="&quot; DM&quot;#,##0.0_);[Red]\(&quot; DM&quot;#,##0.0\)"/>
    <numFmt numFmtId="226" formatCode="&quot; DM&quot;#,##0.000_);[Red]\(&quot; DM&quot;#,##0.000\)"/>
    <numFmt numFmtId="227" formatCode="&quot; DM&quot;#,##0.0000_);[Red]\(&quot; DM&quot;#,##0.0000\)"/>
    <numFmt numFmtId="228" formatCode="&quot; DM&quot;#,##0.00000_);[Red]\(&quot; DM&quot;#,##0.00000\)"/>
    <numFmt numFmtId="229" formatCode="&quot; DM&quot;#,##0.000000_);[Red]\(&quot; DM&quot;#,##0.000000\)"/>
    <numFmt numFmtId="230" formatCode="&quot; DM&quot;#,##0.0000000_);[Red]\(&quot; DM&quot;#,##0.0000000\)"/>
    <numFmt numFmtId="231" formatCode="#,##0.0_);[Red]\(#,##0.0\)"/>
    <numFmt numFmtId="232" formatCode="#,##0.000_);[Red]\(#,##0.000\)"/>
    <numFmt numFmtId="233" formatCode="#,##0.0000_);[Red]\(#,##0.0000\)"/>
    <numFmt numFmtId="234" formatCode="#,##0.00000_);[Red]\(#,##0.00000\)"/>
    <numFmt numFmtId="235" formatCode="#,##0.000000_);[Red]\(#,##0.000000\)"/>
    <numFmt numFmtId="236" formatCode="#,##0.0000000_);[Red]\(#,##0.0000000"/>
    <numFmt numFmtId="237" formatCode="0.00_ ;[Red]\-0.00\ "/>
    <numFmt numFmtId="238" formatCode="#,##0.00_ ;[Red]\-#,##0.00\ "/>
    <numFmt numFmtId="239" formatCode="#,##0.00\ &quot;EUR&quot;"/>
    <numFmt numFmtId="240" formatCode="#,##0.00_ ;\-#,##0.00\ "/>
    <numFmt numFmtId="241" formatCode="0.00_ ;\-0.00\ "/>
    <numFmt numFmtId="242" formatCode="0.0000000000"/>
    <numFmt numFmtId="243" formatCode="0.000000000"/>
    <numFmt numFmtId="244" formatCode="0.00000000"/>
    <numFmt numFmtId="245" formatCode="#,##0.00_);[Red]\(#,##0.000\)"/>
    <numFmt numFmtId="246" formatCode="#,##0.000_);[Red]\(#,##0.0000\)"/>
    <numFmt numFmtId="247" formatCode="#,##0.0000_);[Red]\(#,##0.00000\)"/>
    <numFmt numFmtId="248" formatCode="#,##0.00000_);[Red]\(#,##0.000000\)"/>
    <numFmt numFmtId="249" formatCode="#.##000\ \€;\-#.##000\ \€"/>
    <numFmt numFmtId="250" formatCode="#,##0.00\ _D_M"/>
    <numFmt numFmtId="251" formatCode="#,##0.00\ &quot;DM&quot;"/>
    <numFmt numFmtId="252" formatCode="#,##0.00000\ &quot;DM&quot;"/>
    <numFmt numFmtId="253" formatCode="#,##0.00000\ _D_M"/>
    <numFmt numFmtId="254" formatCode="#,##0.0000\ _E_U_R"/>
    <numFmt numFmtId="255" formatCode="#,##0\ _c_b_m"/>
    <numFmt numFmtId="256" formatCode="#,##0.000_ ;\-#,##0.000\ "/>
    <numFmt numFmtId="257" formatCode="#,##0.0_ ;\-#,##0.0\ "/>
    <numFmt numFmtId="258" formatCode="#,##0_ ;\-#,##0\ "/>
    <numFmt numFmtId="259" formatCode="&quot;h&quot;00000\ "/>
    <numFmt numFmtId="260" formatCode="#,##0.0000\ _h"/>
    <numFmt numFmtId="261" formatCode="#,##0.0\ _h"/>
    <numFmt numFmtId="262" formatCode="#,##0\ _h"/>
    <numFmt numFmtId="263" formatCode="#,##0\ _H"/>
    <numFmt numFmtId="264" formatCode="#,##0.000\ &quot;EUR&quot;"/>
    <numFmt numFmtId="265" formatCode="#,##0.0000\ &quot;EUR&quot;"/>
    <numFmt numFmtId="266" formatCode="#,##0.0000000_);[Red]\(#,##0.0000000\)"/>
    <numFmt numFmtId="267" formatCode="#,##0.00000000_);[Red]\(#,##0.00000000\)"/>
    <numFmt numFmtId="268" formatCode="#,##0.000000000_);[Red]\(#,##0.000000000\)"/>
    <numFmt numFmtId="269" formatCode="#,##0.0000000000_);[Red]\(#,##0.0000000000\)"/>
    <numFmt numFmtId="270" formatCode="#,##0.00000000000_);[Red]\(#,##0.00000000000\)"/>
    <numFmt numFmtId="271" formatCode="#,##0.000000000000_);[Red]\(#,##0.000000000000\)"/>
    <numFmt numFmtId="272" formatCode="#,##0.0000000000000_);[Red]\(#,##0.0000000000000\)"/>
    <numFmt numFmtId="273" formatCode="#,##0.00000000000000_);[Red]\(#,##0.00000000000000\)"/>
    <numFmt numFmtId="274" formatCode="_-* #,##0.000\ &quot;EUR&quot;_-;\-* #,##0.000\ &quot;EUR&quot;_-;_-* &quot;-&quot;??\ &quot;EUR&quot;_-;_-@_-"/>
    <numFmt numFmtId="275" formatCode="_-* #,##0.0000\ &quot;EUR&quot;_-;\-* #,##0.0000\ &quot;EUR&quot;_-;_-* &quot;-&quot;??\ &quot;EUR&quot;_-;_-@_-"/>
    <numFmt numFmtId="276" formatCode="_-* #,##0.00000\ &quot;EUR&quot;_-;\-* #,##0.00000\ &quot;EUR&quot;_-;_-* &quot;-&quot;??\ &quot;EUR&quot;_-;_-@_-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10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6"/>
      <color indexed="17"/>
      <name val="Arial"/>
      <family val="2"/>
    </font>
    <font>
      <sz val="8"/>
      <name val="Tahoma"/>
      <family val="0"/>
    </font>
    <font>
      <u val="single"/>
      <sz val="6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 horizontal="center"/>
    </xf>
    <xf numFmtId="175" fontId="5" fillId="0" borderId="0" xfId="15" applyFont="1" applyBorder="1" applyAlignment="1">
      <alignment/>
    </xf>
    <xf numFmtId="175" fontId="5" fillId="0" borderId="1" xfId="15" applyFont="1" applyBorder="1" applyAlignment="1">
      <alignment/>
    </xf>
    <xf numFmtId="0" fontId="5" fillId="0" borderId="0" xfId="0" applyBorder="1" applyAlignment="1">
      <alignment/>
    </xf>
    <xf numFmtId="175" fontId="8" fillId="0" borderId="0" xfId="15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5" fontId="8" fillId="0" borderId="0" xfId="15" applyFont="1" applyBorder="1" applyAlignment="1">
      <alignment/>
    </xf>
    <xf numFmtId="175" fontId="5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75" fontId="5" fillId="0" borderId="1" xfId="15" applyFont="1" applyBorder="1" applyAlignment="1">
      <alignment horizontal="center"/>
    </xf>
    <xf numFmtId="0" fontId="6" fillId="0" borderId="0" xfId="0" applyFont="1" applyBorder="1" applyAlignment="1">
      <alignment/>
    </xf>
    <xf numFmtId="4" fontId="8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5" fontId="10" fillId="0" borderId="0" xfId="15" applyFont="1" applyBorder="1" applyAlignment="1">
      <alignment horizontal="center"/>
    </xf>
    <xf numFmtId="175" fontId="10" fillId="0" borderId="0" xfId="15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5" fontId="10" fillId="0" borderId="1" xfId="15" applyFont="1" applyBorder="1" applyAlignment="1">
      <alignment horizontal="center"/>
    </xf>
    <xf numFmtId="0" fontId="12" fillId="0" borderId="0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6" fillId="0" borderId="0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75" fontId="10" fillId="0" borderId="6" xfId="15" applyFont="1" applyBorder="1" applyAlignment="1">
      <alignment horizontal="center"/>
    </xf>
    <xf numFmtId="0" fontId="10" fillId="0" borderId="7" xfId="0" applyFont="1" applyBorder="1" applyAlignment="1">
      <alignment/>
    </xf>
    <xf numFmtId="175" fontId="10" fillId="0" borderId="6" xfId="15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75" fontId="10" fillId="0" borderId="6" xfId="15" applyFont="1" applyFill="1" applyBorder="1" applyAlignment="1">
      <alignment/>
    </xf>
    <xf numFmtId="175" fontId="6" fillId="0" borderId="0" xfId="15" applyFill="1" applyBorder="1" applyAlignment="1">
      <alignment/>
    </xf>
    <xf numFmtId="0" fontId="10" fillId="0" borderId="8" xfId="0" applyFont="1" applyBorder="1" applyAlignment="1">
      <alignment/>
    </xf>
    <xf numFmtId="9" fontId="10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78" fontId="13" fillId="0" borderId="0" xfId="0" applyFont="1" applyBorder="1" applyAlignment="1">
      <alignment horizontal="right"/>
    </xf>
    <xf numFmtId="10" fontId="13" fillId="0" borderId="0" xfId="0" applyFont="1" applyBorder="1" applyAlignment="1">
      <alignment horizontal="center"/>
    </xf>
    <xf numFmtId="175" fontId="13" fillId="0" borderId="0" xfId="15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175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10" fontId="9" fillId="0" borderId="2" xfId="0" applyFont="1" applyBorder="1" applyAlignment="1">
      <alignment horizontal="center" wrapText="1"/>
    </xf>
    <xf numFmtId="175" fontId="9" fillId="0" borderId="2" xfId="15" applyFont="1" applyFill="1" applyBorder="1" applyAlignment="1">
      <alignment horizontal="center" wrapText="1"/>
    </xf>
    <xf numFmtId="175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0" fontId="9" fillId="0" borderId="11" xfId="0" applyFont="1" applyBorder="1" applyAlignment="1">
      <alignment horizontal="center" vertical="center" wrapText="1"/>
    </xf>
    <xf numFmtId="10" fontId="9" fillId="0" borderId="11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9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4" fontId="9" fillId="0" borderId="6" xfId="0" applyNumberFormat="1" applyFont="1" applyBorder="1" applyAlignment="1">
      <alignment horizontal="right"/>
    </xf>
    <xf numFmtId="10" fontId="9" fillId="0" borderId="6" xfId="0" applyFont="1" applyBorder="1" applyAlignment="1">
      <alignment horizontal="center"/>
    </xf>
    <xf numFmtId="175" fontId="9" fillId="0" borderId="6" xfId="15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10" fontId="9" fillId="0" borderId="11" xfId="0" applyFont="1" applyBorder="1" applyAlignment="1">
      <alignment horizontal="center"/>
    </xf>
    <xf numFmtId="175" fontId="9" fillId="0" borderId="11" xfId="15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/>
    </xf>
    <xf numFmtId="10" fontId="6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/>
    </xf>
    <xf numFmtId="9" fontId="10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0" xfId="0" applyBorder="1" applyAlignment="1">
      <alignment/>
    </xf>
    <xf numFmtId="0" fontId="10" fillId="0" borderId="2" xfId="0" applyFont="1" applyBorder="1" applyAlignment="1">
      <alignment horizontal="center" vertical="top"/>
    </xf>
    <xf numFmtId="10" fontId="6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center" vertical="top"/>
    </xf>
    <xf numFmtId="0" fontId="10" fillId="0" borderId="0" xfId="0" applyBorder="1" applyAlignment="1">
      <alignment/>
    </xf>
    <xf numFmtId="0" fontId="13" fillId="0" borderId="15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Font="1" applyBorder="1" applyAlignment="1">
      <alignment horizontal="center" wrapText="1"/>
    </xf>
    <xf numFmtId="175" fontId="9" fillId="0" borderId="0" xfId="15" applyFont="1" applyFill="1" applyBorder="1" applyAlignment="1">
      <alignment horizontal="center" wrapText="1"/>
    </xf>
    <xf numFmtId="10" fontId="9" fillId="0" borderId="0" xfId="0" applyFont="1" applyBorder="1" applyAlignment="1">
      <alignment horizontal="center" vertical="center" wrapText="1"/>
    </xf>
    <xf numFmtId="10" fontId="9" fillId="0" borderId="0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175" fontId="9" fillId="0" borderId="1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4" fontId="9" fillId="0" borderId="0" xfId="15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4" fillId="0" borderId="4" xfId="0" applyBorder="1" applyAlignment="1">
      <alignment horizontal="center"/>
    </xf>
    <xf numFmtId="1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75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 wrapText="1"/>
    </xf>
    <xf numFmtId="175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Border="1" applyAlignment="1">
      <alignment/>
    </xf>
    <xf numFmtId="0" fontId="4" fillId="0" borderId="3" xfId="0" applyBorder="1" applyAlignment="1">
      <alignment/>
    </xf>
    <xf numFmtId="0" fontId="4" fillId="0" borderId="4" xfId="0" applyBorder="1" applyAlignment="1">
      <alignment/>
    </xf>
    <xf numFmtId="0" fontId="4" fillId="0" borderId="7" xfId="0" applyBorder="1" applyAlignment="1">
      <alignment/>
    </xf>
    <xf numFmtId="0" fontId="4" fillId="0" borderId="9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9" xfId="0" applyBorder="1" applyAlignment="1">
      <alignment/>
    </xf>
    <xf numFmtId="0" fontId="4" fillId="0" borderId="1" xfId="0" applyBorder="1" applyAlignment="1">
      <alignment/>
    </xf>
    <xf numFmtId="0" fontId="16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9" fontId="10" fillId="0" borderId="10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10" fontId="10" fillId="2" borderId="15" xfId="0" applyFont="1" applyFill="1" applyBorder="1" applyAlignment="1">
      <alignment horizontal="center"/>
    </xf>
    <xf numFmtId="175" fontId="9" fillId="2" borderId="14" xfId="15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8" fontId="13" fillId="2" borderId="13" xfId="0" applyFont="1" applyFill="1" applyBorder="1" applyAlignment="1">
      <alignment horizontal="right"/>
    </xf>
    <xf numFmtId="10" fontId="13" fillId="2" borderId="13" xfId="0" applyFont="1" applyFill="1" applyBorder="1" applyAlignment="1">
      <alignment horizontal="center"/>
    </xf>
    <xf numFmtId="175" fontId="13" fillId="2" borderId="15" xfId="15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15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0" fontId="5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vertical="top"/>
    </xf>
    <xf numFmtId="175" fontId="9" fillId="2" borderId="14" xfId="15" applyFont="1" applyFill="1" applyBorder="1" applyAlignment="1">
      <alignment vertical="top"/>
    </xf>
    <xf numFmtId="4" fontId="9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1" xfId="0" applyBorder="1" applyAlignment="1">
      <alignment horizontal="center"/>
    </xf>
    <xf numFmtId="0" fontId="10" fillId="0" borderId="0" xfId="0" applyBorder="1" applyAlignment="1">
      <alignment horizontal="center"/>
    </xf>
    <xf numFmtId="178" fontId="10" fillId="0" borderId="0" xfId="0" applyBorder="1" applyAlignment="1">
      <alignment/>
    </xf>
    <xf numFmtId="0" fontId="18" fillId="0" borderId="0" xfId="0" applyFont="1" applyBorder="1" applyAlignment="1">
      <alignment/>
    </xf>
    <xf numFmtId="178" fontId="6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19" fillId="0" borderId="12" xfId="0" applyFont="1" applyBorder="1" applyAlignment="1">
      <alignment horizontal="center"/>
    </xf>
    <xf numFmtId="178" fontId="19" fillId="0" borderId="14" xfId="0" applyFont="1" applyBorder="1" applyAlignment="1">
      <alignment horizontal="center"/>
    </xf>
    <xf numFmtId="178" fontId="19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78" fontId="20" fillId="0" borderId="14" xfId="0" applyFont="1" applyBorder="1" applyAlignment="1">
      <alignment horizontal="center"/>
    </xf>
    <xf numFmtId="178" fontId="13" fillId="0" borderId="0" xfId="0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2" xfId="0" applyNumberFormat="1" applyFont="1" applyBorder="1" applyAlignment="1">
      <alignment/>
    </xf>
    <xf numFmtId="175" fontId="19" fillId="0" borderId="14" xfId="15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19" fillId="0" borderId="15" xfId="15" applyFont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0" fillId="0" borderId="0" xfId="31" applyFont="1" applyBorder="1">
      <alignment/>
      <protection locked="0"/>
    </xf>
    <xf numFmtId="0" fontId="10" fillId="0" borderId="7" xfId="31" applyFont="1" applyBorder="1">
      <alignment/>
      <protection locked="0"/>
    </xf>
    <xf numFmtId="0" fontId="9" fillId="2" borderId="7" xfId="31" applyFont="1" applyFill="1" applyBorder="1">
      <alignment/>
      <protection/>
    </xf>
    <xf numFmtId="0" fontId="9" fillId="2" borderId="0" xfId="31" applyFont="1" applyFill="1" applyBorder="1">
      <alignment/>
      <protection locked="0"/>
    </xf>
    <xf numFmtId="0" fontId="10" fillId="0" borderId="7" xfId="31" applyFont="1" applyBorder="1">
      <alignment/>
      <protection/>
    </xf>
    <xf numFmtId="175" fontId="10" fillId="0" borderId="6" xfId="24" applyFont="1" applyBorder="1" applyAlignment="1">
      <alignment horizontal="right"/>
    </xf>
    <xf numFmtId="175" fontId="10" fillId="0" borderId="6" xfId="24" applyFont="1" applyFill="1" applyBorder="1" applyAlignment="1">
      <alignment/>
    </xf>
    <xf numFmtId="0" fontId="10" fillId="0" borderId="0" xfId="31" applyFont="1" applyBorder="1">
      <alignment/>
      <protection/>
    </xf>
    <xf numFmtId="175" fontId="10" fillId="2" borderId="8" xfId="24" applyFont="1" applyFill="1" applyBorder="1" applyAlignment="1">
      <alignment horizontal="left"/>
    </xf>
    <xf numFmtId="178" fontId="10" fillId="0" borderId="6" xfId="31" applyFont="1" applyFill="1" applyBorder="1">
      <alignment/>
      <protection/>
    </xf>
    <xf numFmtId="0" fontId="9" fillId="0" borderId="0" xfId="31" applyFont="1" applyFill="1" applyBorder="1">
      <alignment/>
      <protection locked="0"/>
    </xf>
    <xf numFmtId="0" fontId="9" fillId="0" borderId="7" xfId="31" applyFont="1" applyBorder="1">
      <alignment/>
      <protection/>
    </xf>
    <xf numFmtId="0" fontId="9" fillId="0" borderId="0" xfId="31" applyFont="1" applyBorder="1">
      <alignment/>
      <protection locked="0"/>
    </xf>
    <xf numFmtId="175" fontId="10" fillId="0" borderId="8" xfId="24" applyFont="1" applyFill="1" applyBorder="1" applyAlignment="1">
      <alignment/>
    </xf>
    <xf numFmtId="0" fontId="10" fillId="2" borderId="0" xfId="31" applyFont="1" applyFill="1" applyBorder="1">
      <alignment/>
      <protection locked="0"/>
    </xf>
    <xf numFmtId="0" fontId="10" fillId="0" borderId="0" xfId="31" applyFont="1" applyBorder="1" applyAlignment="1">
      <alignment horizontal="center"/>
      <protection locked="0"/>
    </xf>
    <xf numFmtId="175" fontId="10" fillId="0" borderId="0" xfId="24" applyFont="1" applyBorder="1" applyAlignment="1">
      <alignment horizontal="right"/>
    </xf>
    <xf numFmtId="0" fontId="9" fillId="2" borderId="12" xfId="31" applyFont="1" applyFill="1" applyBorder="1" applyAlignment="1">
      <alignment vertical="center"/>
      <protection locked="0"/>
    </xf>
    <xf numFmtId="0" fontId="10" fillId="2" borderId="13" xfId="31" applyFont="1" applyFill="1" applyBorder="1" applyAlignment="1">
      <alignment vertical="center"/>
      <protection/>
    </xf>
    <xf numFmtId="0" fontId="10" fillId="2" borderId="13" xfId="31" applyFont="1" applyFill="1" applyBorder="1" applyAlignment="1">
      <alignment vertical="center"/>
      <protection locked="0"/>
    </xf>
    <xf numFmtId="0" fontId="13" fillId="2" borderId="13" xfId="0" applyFont="1" applyFill="1" applyBorder="1" applyAlignment="1">
      <alignment/>
    </xf>
    <xf numFmtId="178" fontId="13" fillId="2" borderId="13" xfId="0" applyFont="1" applyFill="1" applyBorder="1" applyAlignment="1">
      <alignment horizontal="right"/>
    </xf>
    <xf numFmtId="10" fontId="13" fillId="2" borderId="15" xfId="0" applyFont="1" applyFill="1" applyBorder="1" applyAlignment="1">
      <alignment horizontal="center"/>
    </xf>
    <xf numFmtId="0" fontId="9" fillId="0" borderId="7" xfId="31" applyFont="1" applyBorder="1">
      <alignment/>
      <protection locked="0"/>
    </xf>
    <xf numFmtId="0" fontId="9" fillId="0" borderId="0" xfId="31" applyFont="1" applyBorder="1">
      <alignment/>
      <protection/>
    </xf>
    <xf numFmtId="3" fontId="10" fillId="0" borderId="0" xfId="31" applyNumberFormat="1" applyFont="1" applyBorder="1" applyAlignment="1">
      <alignment horizontal="center"/>
      <protection locked="0"/>
    </xf>
    <xf numFmtId="0" fontId="9" fillId="0" borderId="7" xfId="31" applyFont="1" applyFill="1" applyBorder="1">
      <alignment/>
      <protection/>
    </xf>
    <xf numFmtId="175" fontId="10" fillId="0" borderId="8" xfId="24" applyFont="1" applyFill="1" applyBorder="1" applyAlignment="1">
      <alignment horizontal="left"/>
    </xf>
    <xf numFmtId="0" fontId="10" fillId="0" borderId="8" xfId="31" applyFont="1" applyFill="1" applyBorder="1">
      <alignment/>
      <protection locked="0"/>
    </xf>
    <xf numFmtId="9" fontId="10" fillId="0" borderId="0" xfId="31" applyNumberFormat="1" applyFont="1" applyBorder="1" applyAlignment="1">
      <alignment horizontal="center"/>
      <protection locked="0"/>
    </xf>
    <xf numFmtId="9" fontId="10" fillId="0" borderId="0" xfId="31" applyNumberFormat="1" applyFont="1" applyBorder="1" applyAlignment="1">
      <alignment horizontal="center"/>
      <protection/>
    </xf>
    <xf numFmtId="0" fontId="9" fillId="0" borderId="3" xfId="31" applyFont="1" applyBorder="1">
      <alignment/>
      <protection locked="0"/>
    </xf>
    <xf numFmtId="0" fontId="9" fillId="0" borderId="4" xfId="31" applyFont="1" applyBorder="1">
      <alignment/>
      <protection/>
    </xf>
    <xf numFmtId="0" fontId="10" fillId="0" borderId="4" xfId="31" applyFont="1" applyBorder="1">
      <alignment/>
      <protection/>
    </xf>
    <xf numFmtId="175" fontId="10" fillId="0" borderId="4" xfId="24" applyFont="1" applyBorder="1" applyAlignment="1">
      <alignment horizontal="right"/>
    </xf>
    <xf numFmtId="0" fontId="10" fillId="0" borderId="9" xfId="31" applyFont="1" applyBorder="1">
      <alignment/>
      <protection locked="0"/>
    </xf>
    <xf numFmtId="0" fontId="10" fillId="0" borderId="1" xfId="31" applyFont="1" applyBorder="1">
      <alignment/>
      <protection/>
    </xf>
    <xf numFmtId="0" fontId="10" fillId="0" borderId="1" xfId="31" applyFont="1" applyBorder="1">
      <alignment/>
      <protection locked="0"/>
    </xf>
    <xf numFmtId="0" fontId="9" fillId="0" borderId="14" xfId="31" applyFont="1" applyBorder="1" applyAlignment="1">
      <alignment horizontal="center" vertical="center"/>
      <protection/>
    </xf>
    <xf numFmtId="0" fontId="9" fillId="0" borderId="14" xfId="31" applyFont="1" applyBorder="1" applyAlignment="1">
      <alignment horizontal="center" vertical="center"/>
      <protection locked="0"/>
    </xf>
    <xf numFmtId="175" fontId="9" fillId="0" borderId="15" xfId="24" applyFont="1" applyFill="1" applyBorder="1" applyAlignment="1">
      <alignment horizontal="center" vertical="center"/>
    </xf>
    <xf numFmtId="175" fontId="13" fillId="0" borderId="0" xfId="15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Font="1" applyFill="1" applyBorder="1" applyAlignment="1">
      <alignment horizontal="center" vertical="center" wrapText="1"/>
    </xf>
    <xf numFmtId="10" fontId="9" fillId="0" borderId="2" xfId="0" applyFont="1" applyFill="1" applyBorder="1" applyAlignment="1">
      <alignment horizontal="center" vertical="center" wrapText="1"/>
    </xf>
    <xf numFmtId="175" fontId="9" fillId="2" borderId="11" xfId="24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178" fontId="9" fillId="0" borderId="6" xfId="0" applyFont="1" applyFill="1" applyBorder="1" applyAlignment="1">
      <alignment horizontal="center" vertical="center" wrapText="1"/>
    </xf>
    <xf numFmtId="10" fontId="9" fillId="0" borderId="6" xfId="0" applyFont="1" applyFill="1" applyBorder="1" applyAlignment="1">
      <alignment horizontal="center" vertical="center" wrapText="1"/>
    </xf>
    <xf numFmtId="0" fontId="5" fillId="0" borderId="0" xfId="31" applyFont="1" applyBorder="1">
      <alignment/>
      <protection locked="0"/>
    </xf>
    <xf numFmtId="0" fontId="10" fillId="0" borderId="15" xfId="31" applyFont="1" applyBorder="1">
      <alignment/>
      <protection locked="0"/>
    </xf>
    <xf numFmtId="0" fontId="9" fillId="2" borderId="13" xfId="31" applyFont="1" applyFill="1" applyBorder="1" applyAlignment="1">
      <alignment vertical="center"/>
      <protection locked="0"/>
    </xf>
    <xf numFmtId="0" fontId="14" fillId="2" borderId="13" xfId="0" applyFont="1" applyFill="1" applyBorder="1" applyAlignment="1">
      <alignment horizontal="left" vertical="center"/>
    </xf>
    <xf numFmtId="0" fontId="5" fillId="0" borderId="7" xfId="0" applyBorder="1" applyAlignment="1">
      <alignment/>
    </xf>
    <xf numFmtId="0" fontId="4" fillId="0" borderId="7" xfId="0" applyFont="1" applyBorder="1" applyAlignment="1">
      <alignment/>
    </xf>
    <xf numFmtId="175" fontId="5" fillId="0" borderId="13" xfId="15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7" xfId="0" applyFill="1" applyBorder="1" applyAlignment="1">
      <alignment/>
    </xf>
    <xf numFmtId="0" fontId="4" fillId="2" borderId="0" xfId="0" applyFill="1" applyBorder="1" applyAlignment="1">
      <alignment horizontal="center"/>
    </xf>
    <xf numFmtId="0" fontId="18" fillId="0" borderId="7" xfId="0" applyFont="1" applyBorder="1" applyAlignment="1">
      <alignment/>
    </xf>
    <xf numFmtId="0" fontId="4" fillId="2" borderId="7" xfId="0" applyFill="1" applyBorder="1" applyAlignment="1">
      <alignment/>
    </xf>
    <xf numFmtId="175" fontId="5" fillId="2" borderId="0" xfId="15" applyFont="1" applyFill="1" applyBorder="1" applyAlignment="1">
      <alignment/>
    </xf>
    <xf numFmtId="16" fontId="18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175" fontId="5" fillId="0" borderId="4" xfId="15" applyFont="1" applyBorder="1" applyAlignment="1">
      <alignment/>
    </xf>
    <xf numFmtId="175" fontId="5" fillId="0" borderId="0" xfId="15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175" fontId="5" fillId="0" borderId="4" xfId="15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175" fontId="4" fillId="0" borderId="0" xfId="15" applyFont="1" applyBorder="1" applyAlignment="1">
      <alignment/>
    </xf>
    <xf numFmtId="1" fontId="4" fillId="0" borderId="0" xfId="0" applyFont="1" applyBorder="1" applyAlignment="1">
      <alignment/>
    </xf>
    <xf numFmtId="1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75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78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41" fontId="8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75" fontId="4" fillId="2" borderId="0" xfId="15" applyFont="1" applyFill="1" applyBorder="1" applyAlignment="1">
      <alignment horizontal="center"/>
    </xf>
    <xf numFmtId="175" fontId="4" fillId="0" borderId="1" xfId="15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175" fontId="5" fillId="2" borderId="4" xfId="15" applyFont="1" applyFill="1" applyBorder="1" applyAlignment="1">
      <alignment/>
    </xf>
    <xf numFmtId="0" fontId="4" fillId="2" borderId="5" xfId="0" applyFont="1" applyFill="1" applyBorder="1" applyAlignment="1">
      <alignment/>
    </xf>
    <xf numFmtId="175" fontId="8" fillId="2" borderId="0" xfId="15" applyFont="1" applyFill="1" applyBorder="1" applyAlignment="1">
      <alignment horizontal="right" wrapText="1"/>
    </xf>
    <xf numFmtId="0" fontId="4" fillId="0" borderId="5" xfId="0" applyBorder="1" applyAlignment="1">
      <alignment/>
    </xf>
    <xf numFmtId="0" fontId="4" fillId="0" borderId="8" xfId="0" applyBorder="1" applyAlignment="1">
      <alignment/>
    </xf>
    <xf numFmtId="0" fontId="4" fillId="0" borderId="10" xfId="0" applyBorder="1" applyAlignment="1">
      <alignment/>
    </xf>
    <xf numFmtId="175" fontId="8" fillId="0" borderId="1" xfId="15" applyFont="1" applyBorder="1" applyAlignment="1">
      <alignment/>
    </xf>
    <xf numFmtId="0" fontId="4" fillId="2" borderId="8" xfId="0" applyFill="1" applyBorder="1" applyAlignment="1">
      <alignment/>
    </xf>
    <xf numFmtId="175" fontId="11" fillId="0" borderId="0" xfId="15" applyFont="1" applyBorder="1" applyAlignment="1">
      <alignment/>
    </xf>
    <xf numFmtId="175" fontId="10" fillId="0" borderId="0" xfId="15" applyFont="1" applyBorder="1" applyAlignment="1">
      <alignment horizontal="right"/>
    </xf>
    <xf numFmtId="175" fontId="9" fillId="0" borderId="1" xfId="15" applyFont="1" applyBorder="1" applyAlignment="1">
      <alignment/>
    </xf>
    <xf numFmtId="240" fontId="5" fillId="0" borderId="0" xfId="15" applyNumberFormat="1" applyFont="1" applyBorder="1" applyAlignment="1">
      <alignment/>
    </xf>
    <xf numFmtId="4" fontId="5" fillId="0" borderId="0" xfId="15" applyNumberFormat="1" applyFont="1" applyBorder="1" applyAlignment="1">
      <alignment/>
    </xf>
    <xf numFmtId="175" fontId="8" fillId="2" borderId="0" xfId="15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8" xfId="0" applyFill="1" applyBorder="1" applyAlignment="1">
      <alignment/>
    </xf>
    <xf numFmtId="175" fontId="10" fillId="0" borderId="0" xfId="15" applyNumberFormat="1" applyFont="1" applyBorder="1" applyAlignment="1">
      <alignment/>
    </xf>
    <xf numFmtId="173" fontId="10" fillId="0" borderId="0" xfId="15" applyNumberFormat="1" applyFont="1" applyBorder="1" applyAlignment="1">
      <alignment horizontal="right"/>
    </xf>
    <xf numFmtId="173" fontId="11" fillId="0" borderId="0" xfId="15" applyNumberFormat="1" applyFont="1" applyBorder="1" applyAlignment="1">
      <alignment horizontal="right"/>
    </xf>
    <xf numFmtId="0" fontId="4" fillId="0" borderId="12" xfId="0" applyBorder="1" applyAlignment="1">
      <alignment/>
    </xf>
    <xf numFmtId="49" fontId="4" fillId="0" borderId="7" xfId="0" applyNumberFormat="1" applyFont="1" applyBorder="1" applyAlignment="1">
      <alignment/>
    </xf>
    <xf numFmtId="0" fontId="22" fillId="0" borderId="8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5" fillId="0" borderId="8" xfId="0" applyBorder="1" applyAlignment="1">
      <alignment/>
    </xf>
    <xf numFmtId="0" fontId="10" fillId="0" borderId="12" xfId="31" applyFont="1" applyBorder="1" applyAlignment="1">
      <alignment horizontal="left" vertical="center"/>
      <protection locked="0"/>
    </xf>
    <xf numFmtId="0" fontId="10" fillId="0" borderId="8" xfId="31" applyFont="1" applyBorder="1" applyAlignment="1">
      <alignment horizontal="center"/>
      <protection locked="0"/>
    </xf>
    <xf numFmtId="0" fontId="10" fillId="0" borderId="13" xfId="31" applyFont="1" applyBorder="1">
      <alignment/>
      <protection locked="0"/>
    </xf>
    <xf numFmtId="0" fontId="10" fillId="0" borderId="11" xfId="31" applyFont="1" applyBorder="1" applyAlignment="1">
      <alignment horizontal="center"/>
      <protection locked="0"/>
    </xf>
    <xf numFmtId="175" fontId="10" fillId="0" borderId="10" xfId="24" applyFont="1" applyBorder="1" applyAlignment="1">
      <alignment horizontal="right"/>
    </xf>
    <xf numFmtId="0" fontId="10" fillId="0" borderId="6" xfId="31" applyFont="1" applyBorder="1" applyAlignment="1">
      <alignment horizontal="center"/>
      <protection locked="0"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4" fontId="19" fillId="0" borderId="12" xfId="15" applyNumberFormat="1" applyFont="1" applyBorder="1" applyAlignment="1">
      <alignment/>
    </xf>
    <xf numFmtId="4" fontId="19" fillId="0" borderId="14" xfId="15" applyNumberFormat="1" applyFont="1" applyBorder="1" applyAlignment="1">
      <alignment/>
    </xf>
    <xf numFmtId="4" fontId="19" fillId="0" borderId="15" xfId="15" applyNumberFormat="1" applyFont="1" applyBorder="1" applyAlignment="1">
      <alignment/>
    </xf>
    <xf numFmtId="0" fontId="19" fillId="0" borderId="14" xfId="0" applyFont="1" applyBorder="1" applyAlignment="1">
      <alignment horizontal="left"/>
    </xf>
    <xf numFmtId="4" fontId="19" fillId="0" borderId="12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5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24" fillId="0" borderId="7" xfId="0" applyFont="1" applyBorder="1" applyAlignment="1">
      <alignment/>
    </xf>
    <xf numFmtId="0" fontId="25" fillId="0" borderId="0" xfId="0" applyFont="1" applyBorder="1" applyAlignment="1">
      <alignment/>
    </xf>
    <xf numFmtId="175" fontId="19" fillId="0" borderId="15" xfId="15" applyNumberFormat="1" applyFont="1" applyBorder="1" applyAlignment="1">
      <alignment/>
    </xf>
    <xf numFmtId="175" fontId="19" fillId="0" borderId="14" xfId="15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75" fontId="4" fillId="0" borderId="0" xfId="15" applyFont="1" applyBorder="1" applyAlignment="1">
      <alignment horizontal="center"/>
    </xf>
    <xf numFmtId="175" fontId="4" fillId="0" borderId="0" xfId="15" applyFont="1" applyBorder="1" applyAlignment="1">
      <alignment horizontal="right"/>
    </xf>
    <xf numFmtId="175" fontId="7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175" fontId="4" fillId="0" borderId="0" xfId="15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75" fontId="4" fillId="0" borderId="0" xfId="15" applyFont="1" applyBorder="1" applyAlignment="1">
      <alignment horizontal="right"/>
    </xf>
    <xf numFmtId="175" fontId="4" fillId="2" borderId="0" xfId="15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4" fillId="2" borderId="0" xfId="0" applyFont="1" applyFill="1" applyBorder="1" applyAlignment="1">
      <alignment horizontal="center"/>
    </xf>
    <xf numFmtId="175" fontId="4" fillId="2" borderId="0" xfId="15" applyNumberFormat="1" applyFont="1" applyFill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4" fillId="0" borderId="1" xfId="0" applyFont="1" applyBorder="1" applyAlignment="1">
      <alignment horizontal="center"/>
    </xf>
    <xf numFmtId="10" fontId="4" fillId="0" borderId="0" xfId="0" applyFont="1" applyBorder="1" applyAlignment="1">
      <alignment horizontal="right"/>
    </xf>
    <xf numFmtId="178" fontId="10" fillId="0" borderId="0" xfId="0" applyFont="1" applyBorder="1" applyAlignment="1">
      <alignment/>
    </xf>
    <xf numFmtId="3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2" borderId="0" xfId="0" applyFont="1" applyFill="1" applyBorder="1" applyAlignment="1">
      <alignment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" xfId="0" applyFont="1" applyBorder="1" applyAlignment="1">
      <alignment horizontal="right"/>
    </xf>
    <xf numFmtId="10" fontId="4" fillId="0" borderId="1" xfId="0" applyFont="1" applyBorder="1" applyAlignment="1">
      <alignment/>
    </xf>
    <xf numFmtId="1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0" xfId="0" applyFont="1" applyBorder="1" applyAlignment="1">
      <alignment horizontal="right"/>
    </xf>
    <xf numFmtId="178" fontId="27" fillId="0" borderId="0" xfId="0" applyFont="1" applyBorder="1" applyAlignment="1">
      <alignment/>
    </xf>
    <xf numFmtId="3" fontId="10" fillId="0" borderId="0" xfId="0" applyFont="1" applyBorder="1" applyAlignment="1">
      <alignment/>
    </xf>
    <xf numFmtId="3" fontId="10" fillId="0" borderId="0" xfId="0" applyFont="1" applyBorder="1" applyAlignment="1">
      <alignment horizontal="center"/>
    </xf>
    <xf numFmtId="239" fontId="10" fillId="0" borderId="0" xfId="15" applyNumberFormat="1" applyFont="1" applyBorder="1" applyAlignment="1">
      <alignment horizontal="center"/>
    </xf>
    <xf numFmtId="3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75" fontId="4" fillId="0" borderId="13" xfId="15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0" xfId="15" applyFont="1" applyBorder="1" applyAlignment="1">
      <alignment/>
    </xf>
    <xf numFmtId="175" fontId="7" fillId="0" borderId="0" xfId="15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10" fillId="0" borderId="5" xfId="24" applyFont="1" applyFill="1" applyBorder="1" applyAlignment="1">
      <alignment/>
    </xf>
    <xf numFmtId="239" fontId="10" fillId="0" borderId="0" xfId="31" applyNumberFormat="1" applyFont="1" applyBorder="1" applyAlignment="1">
      <alignment horizontal="center"/>
      <protection locked="0"/>
    </xf>
    <xf numFmtId="255" fontId="10" fillId="0" borderId="0" xfId="31" applyNumberFormat="1" applyFont="1" applyBorder="1" applyAlignment="1">
      <alignment horizontal="center"/>
      <protection locked="0"/>
    </xf>
    <xf numFmtId="0" fontId="8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1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10" fontId="4" fillId="0" borderId="11" xfId="0" applyFont="1" applyBorder="1" applyAlignment="1">
      <alignment/>
    </xf>
    <xf numFmtId="10" fontId="5" fillId="0" borderId="14" xfId="0" applyFont="1" applyBorder="1" applyAlignment="1">
      <alignment/>
    </xf>
    <xf numFmtId="0" fontId="4" fillId="0" borderId="3" xfId="0" applyFont="1" applyBorder="1" applyAlignment="1">
      <alignment horizontal="center"/>
    </xf>
    <xf numFmtId="10" fontId="5" fillId="2" borderId="11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5" fontId="10" fillId="0" borderId="2" xfId="15" applyFont="1" applyBorder="1" applyAlignment="1">
      <alignment vertical="top"/>
    </xf>
    <xf numFmtId="175" fontId="10" fillId="0" borderId="6" xfId="15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5" fontId="9" fillId="0" borderId="9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</cellXfs>
  <cellStyles count="36">
    <cellStyle name="Normal" xfId="0"/>
    <cellStyle name="Comma" xfId="15"/>
    <cellStyle name="Comma [0]" xfId="16"/>
    <cellStyle name="Dezimal [0]_IM0556" xfId="17"/>
    <cellStyle name="Dezimal [0]_IM2130" xfId="18"/>
    <cellStyle name="Dezimal [0]_IM4074" xfId="19"/>
    <cellStyle name="Dezimal [0]_IM5046" xfId="20"/>
    <cellStyle name="Dezimal [0]_IM7731" xfId="21"/>
    <cellStyle name="Dezimal [0]_IM9954" xfId="22"/>
    <cellStyle name="Dezimal_IM0556" xfId="23"/>
    <cellStyle name="Dezimal_IM2130" xfId="24"/>
    <cellStyle name="Dezimal_IM4074" xfId="25"/>
    <cellStyle name="Dezimal_IM5046" xfId="26"/>
    <cellStyle name="Dezimal_IM7731" xfId="27"/>
    <cellStyle name="Dezimal_IM9954" xfId="28"/>
    <cellStyle name="Percent" xfId="29"/>
    <cellStyle name="Standard_IM0556" xfId="30"/>
    <cellStyle name="Standard_IM2130" xfId="31"/>
    <cellStyle name="Standard_IM4074" xfId="32"/>
    <cellStyle name="Standard_IM5046" xfId="33"/>
    <cellStyle name="Standard_IM7731" xfId="34"/>
    <cellStyle name="Standard_IM9954" xfId="35"/>
    <cellStyle name="Currency" xfId="36"/>
    <cellStyle name="Currency [0]" xfId="37"/>
    <cellStyle name="Währung [0]_IM0556" xfId="38"/>
    <cellStyle name="Währung [0]_IM2130" xfId="39"/>
    <cellStyle name="Währung [0]_IM4074" xfId="40"/>
    <cellStyle name="Währung [0]_IM5046" xfId="41"/>
    <cellStyle name="Währung [0]_IM7731" xfId="42"/>
    <cellStyle name="Währung [0]_IM9954" xfId="43"/>
    <cellStyle name="Währung_IM0556" xfId="44"/>
    <cellStyle name="Währung_IM2130" xfId="45"/>
    <cellStyle name="Währung_IM4074" xfId="46"/>
    <cellStyle name="Währung_IM5046" xfId="47"/>
    <cellStyle name="Währung_IM7731" xfId="48"/>
    <cellStyle name="Währung_IM9954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2">
      <selection activeCell="B3" sqref="B3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14.75" customHeight="1"/>
    <row r="2" ht="202.5">
      <c r="B2" s="403" t="s">
        <v>477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21">
      <selection activeCell="C5" sqref="C5"/>
    </sheetView>
  </sheetViews>
  <sheetFormatPr defaultColWidth="11.421875" defaultRowHeight="12.75"/>
  <cols>
    <col min="1" max="1" width="15.00390625" style="180" customWidth="1"/>
    <col min="2" max="2" width="9.140625" style="180" customWidth="1"/>
    <col min="3" max="3" width="62.421875" style="180" customWidth="1"/>
    <col min="4" max="4" width="9.00390625" style="180" customWidth="1"/>
    <col min="5" max="5" width="15.00390625" style="180" customWidth="1"/>
    <col min="6" max="6" width="17.421875" style="180" customWidth="1"/>
    <col min="7" max="16384" width="15.00390625" style="180" customWidth="1"/>
  </cols>
  <sheetData>
    <row r="1" ht="14.25">
      <c r="A1" s="180" t="s">
        <v>282</v>
      </c>
    </row>
    <row r="5" spans="1:3" ht="14.25">
      <c r="A5" s="180" t="s">
        <v>283</v>
      </c>
      <c r="C5" s="180" t="s">
        <v>481</v>
      </c>
    </row>
    <row r="7" spans="1:3" ht="14.25">
      <c r="A7" s="180" t="s">
        <v>284</v>
      </c>
      <c r="C7" s="180" t="s">
        <v>297</v>
      </c>
    </row>
    <row r="9" spans="1:3" ht="14.25">
      <c r="A9" s="180" t="s">
        <v>450</v>
      </c>
      <c r="C9" s="180" t="s">
        <v>285</v>
      </c>
    </row>
    <row r="11" spans="1:3" ht="14.25">
      <c r="A11" s="180" t="s">
        <v>451</v>
      </c>
      <c r="C11" s="180" t="s">
        <v>295</v>
      </c>
    </row>
    <row r="12" ht="14.25">
      <c r="C12" s="180" t="s">
        <v>296</v>
      </c>
    </row>
    <row r="14" spans="1:3" ht="14.25">
      <c r="A14" s="180" t="s">
        <v>452</v>
      </c>
      <c r="C14" s="180" t="s">
        <v>286</v>
      </c>
    </row>
    <row r="16" spans="1:3" ht="14.25">
      <c r="A16" s="180" t="s">
        <v>453</v>
      </c>
      <c r="C16" s="180" t="s">
        <v>288</v>
      </c>
    </row>
    <row r="18" spans="1:3" ht="14.25">
      <c r="A18" s="180" t="s">
        <v>453</v>
      </c>
      <c r="B18" s="180" t="s">
        <v>290</v>
      </c>
      <c r="C18" s="180" t="s">
        <v>291</v>
      </c>
    </row>
    <row r="20" spans="1:3" ht="14.25">
      <c r="A20" s="180" t="s">
        <v>454</v>
      </c>
      <c r="C20" s="180" t="s">
        <v>292</v>
      </c>
    </row>
    <row r="21" ht="14.25">
      <c r="C21" s="180" t="s">
        <v>293</v>
      </c>
    </row>
    <row r="23" spans="1:3" ht="14.25">
      <c r="A23" s="180" t="s">
        <v>455</v>
      </c>
      <c r="C23" s="180" t="s">
        <v>458</v>
      </c>
    </row>
    <row r="25" spans="1:3" ht="14.25">
      <c r="A25" s="180" t="s">
        <v>287</v>
      </c>
      <c r="C25" s="180" t="s">
        <v>457</v>
      </c>
    </row>
    <row r="26" ht="14.25">
      <c r="C26" s="180" t="s">
        <v>294</v>
      </c>
    </row>
    <row r="28" spans="1:3" ht="14.25">
      <c r="A28" s="180" t="s">
        <v>289</v>
      </c>
      <c r="C28" s="180" t="s">
        <v>456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9">
      <pane xSplit="2" topLeftCell="F1" activePane="topRight" state="frozen"/>
      <selection pane="topLeft" activeCell="A1" sqref="A1"/>
      <selection pane="topRight" activeCell="I24" sqref="I24"/>
    </sheetView>
  </sheetViews>
  <sheetFormatPr defaultColWidth="11.421875" defaultRowHeight="12.75"/>
  <cols>
    <col min="1" max="1" width="6.8515625" style="68" customWidth="1"/>
    <col min="2" max="2" width="26.8515625" style="68" customWidth="1"/>
    <col min="3" max="10" width="10.7109375" style="68" customWidth="1"/>
    <col min="11" max="11" width="10.7109375" style="221" customWidth="1"/>
    <col min="12" max="12" width="12.421875" style="221" customWidth="1"/>
    <col min="13" max="13" width="13.8515625" style="68" customWidth="1"/>
    <col min="14" max="16384" width="11.00390625" style="68" customWidth="1"/>
  </cols>
  <sheetData>
    <row r="1" spans="1:7" ht="18.75" customHeight="1">
      <c r="A1" s="56" t="s">
        <v>476</v>
      </c>
      <c r="G1" s="56" t="s">
        <v>325</v>
      </c>
    </row>
    <row r="2" ht="8.25"/>
    <row r="3" ht="8.25">
      <c r="A3" s="71" t="s">
        <v>326</v>
      </c>
    </row>
    <row r="4" ht="8.25"/>
    <row r="5" spans="1:11" ht="9.75">
      <c r="A5" s="222" t="s">
        <v>327</v>
      </c>
      <c r="B5" s="222" t="s">
        <v>328</v>
      </c>
      <c r="C5" s="223" t="s">
        <v>467</v>
      </c>
      <c r="D5" s="486" t="s">
        <v>329</v>
      </c>
      <c r="E5" s="487"/>
      <c r="F5" s="488"/>
      <c r="G5" s="486" t="s">
        <v>330</v>
      </c>
      <c r="H5" s="487"/>
      <c r="I5" s="488"/>
      <c r="J5" s="224" t="s">
        <v>331</v>
      </c>
      <c r="K5" s="222" t="s">
        <v>332</v>
      </c>
    </row>
    <row r="6" spans="1:11" ht="9.75">
      <c r="A6" s="225"/>
      <c r="B6" s="226"/>
      <c r="C6" s="227"/>
      <c r="D6" s="228"/>
      <c r="E6" s="484"/>
      <c r="F6" s="485"/>
      <c r="G6" s="228"/>
      <c r="H6" s="484"/>
      <c r="I6" s="485"/>
      <c r="J6" s="229" t="s">
        <v>333</v>
      </c>
      <c r="K6" s="225" t="s">
        <v>334</v>
      </c>
    </row>
    <row r="7" spans="1:11" ht="9.75">
      <c r="A7" s="226"/>
      <c r="B7" s="226"/>
      <c r="C7" s="227"/>
      <c r="D7" s="226"/>
      <c r="E7" s="230" t="s">
        <v>320</v>
      </c>
      <c r="F7" s="230"/>
      <c r="G7" s="226"/>
      <c r="H7" s="230"/>
      <c r="I7" s="230"/>
      <c r="J7" s="229" t="s">
        <v>335</v>
      </c>
      <c r="K7" s="226"/>
    </row>
    <row r="8" spans="1:11" ht="9.75">
      <c r="A8" s="231"/>
      <c r="B8" s="232"/>
      <c r="C8" s="233" t="s">
        <v>336</v>
      </c>
      <c r="D8" s="231" t="s">
        <v>337</v>
      </c>
      <c r="E8" s="231" t="s">
        <v>194</v>
      </c>
      <c r="F8" s="231" t="s">
        <v>195</v>
      </c>
      <c r="G8" s="231" t="s">
        <v>338</v>
      </c>
      <c r="H8" s="231" t="s">
        <v>194</v>
      </c>
      <c r="I8" s="231" t="s">
        <v>196</v>
      </c>
      <c r="J8" s="234" t="s">
        <v>339</v>
      </c>
      <c r="K8" s="231" t="s">
        <v>340</v>
      </c>
    </row>
    <row r="9" spans="1:11" s="13" customFormat="1" ht="9.75">
      <c r="A9" s="235" t="s">
        <v>341</v>
      </c>
      <c r="B9" s="235" t="s">
        <v>342</v>
      </c>
      <c r="C9" s="236" t="s">
        <v>343</v>
      </c>
      <c r="D9" s="237" t="s">
        <v>344</v>
      </c>
      <c r="E9" s="237" t="s">
        <v>345</v>
      </c>
      <c r="F9" s="237" t="s">
        <v>346</v>
      </c>
      <c r="G9" s="237" t="s">
        <v>347</v>
      </c>
      <c r="H9" s="237" t="s">
        <v>348</v>
      </c>
      <c r="I9" s="237" t="s">
        <v>349</v>
      </c>
      <c r="J9" s="238" t="s">
        <v>350</v>
      </c>
      <c r="K9" s="237" t="s">
        <v>351</v>
      </c>
    </row>
    <row r="10" spans="1:12" s="71" customFormat="1" ht="12" customHeight="1">
      <c r="A10" s="239"/>
      <c r="B10" s="239"/>
      <c r="C10" s="240"/>
      <c r="D10" s="241"/>
      <c r="E10" s="241" t="s">
        <v>352</v>
      </c>
      <c r="F10" s="241" t="s">
        <v>353</v>
      </c>
      <c r="G10" s="241"/>
      <c r="H10" s="241" t="s">
        <v>354</v>
      </c>
      <c r="I10" s="241" t="s">
        <v>355</v>
      </c>
      <c r="J10" s="242" t="s">
        <v>356</v>
      </c>
      <c r="K10" s="243" t="s">
        <v>357</v>
      </c>
      <c r="L10" s="244"/>
    </row>
    <row r="11" spans="1:12" s="71" customFormat="1" ht="12" customHeight="1">
      <c r="A11" s="235">
        <v>46100</v>
      </c>
      <c r="B11" s="245" t="s">
        <v>427</v>
      </c>
      <c r="C11" s="246">
        <f>D11+G11+J11+K11</f>
        <v>4400</v>
      </c>
      <c r="D11" s="247">
        <f>SUM(E11:F11)</f>
        <v>0</v>
      </c>
      <c r="E11" s="247">
        <v>0</v>
      </c>
      <c r="F11" s="247">
        <v>0</v>
      </c>
      <c r="G11" s="247">
        <f>SUM(H11:I11)</f>
        <v>4400</v>
      </c>
      <c r="H11" s="247">
        <v>0</v>
      </c>
      <c r="I11" s="247">
        <v>4400</v>
      </c>
      <c r="J11" s="406">
        <v>0</v>
      </c>
      <c r="K11" s="407">
        <v>0</v>
      </c>
      <c r="L11" s="244"/>
    </row>
    <row r="12" spans="1:11" ht="12" customHeight="1">
      <c r="A12" s="235">
        <v>53300</v>
      </c>
      <c r="B12" s="245" t="s">
        <v>358</v>
      </c>
      <c r="C12" s="246">
        <v>25100</v>
      </c>
      <c r="D12" s="247">
        <v>23031.76</v>
      </c>
      <c r="E12" s="247">
        <v>0</v>
      </c>
      <c r="F12" s="247">
        <v>23031.76</v>
      </c>
      <c r="G12" s="247">
        <f>SUM(H12:I12)</f>
        <v>233.43</v>
      </c>
      <c r="H12" s="247">
        <v>0</v>
      </c>
      <c r="I12" s="247">
        <f>ROUND(C12*0.93%,2)</f>
        <v>233.43</v>
      </c>
      <c r="J12" s="406">
        <f>ROUND(C12*4.68%,2)</f>
        <v>1174.68</v>
      </c>
      <c r="K12" s="407">
        <f>ROUND(C12*2.63%,2)</f>
        <v>660.13</v>
      </c>
    </row>
    <row r="13" spans="1:13" ht="12" customHeight="1">
      <c r="A13" s="235">
        <v>55100</v>
      </c>
      <c r="B13" s="245" t="s">
        <v>359</v>
      </c>
      <c r="C13" s="246">
        <v>5000</v>
      </c>
      <c r="D13" s="247">
        <v>0</v>
      </c>
      <c r="E13" s="247">
        <v>0</v>
      </c>
      <c r="F13" s="247">
        <v>0</v>
      </c>
      <c r="G13" s="247">
        <f aca="true" t="shared" si="0" ref="G13:G18">SUM(H13:I13)</f>
        <v>5000</v>
      </c>
      <c r="H13" s="247">
        <f>ROUND(C13*0.44%,2)</f>
        <v>22</v>
      </c>
      <c r="I13" s="247">
        <f>ROUND(C13*99.56%,2)</f>
        <v>4978</v>
      </c>
      <c r="J13" s="406">
        <v>0</v>
      </c>
      <c r="K13" s="407">
        <v>0</v>
      </c>
      <c r="L13" s="405"/>
      <c r="M13" s="405"/>
    </row>
    <row r="14" spans="1:11" ht="12" customHeight="1">
      <c r="A14" s="235">
        <v>55101</v>
      </c>
      <c r="B14" s="245" t="s">
        <v>74</v>
      </c>
      <c r="C14" s="246">
        <v>8500</v>
      </c>
      <c r="D14" s="247">
        <f>SUM(E14:F14)</f>
        <v>7799.6</v>
      </c>
      <c r="E14" s="247">
        <v>0</v>
      </c>
      <c r="F14" s="247">
        <f>ROUND(C14*91.76%,2)</f>
        <v>7799.6</v>
      </c>
      <c r="G14" s="247">
        <f t="shared" si="0"/>
        <v>79.05</v>
      </c>
      <c r="H14" s="247">
        <v>0</v>
      </c>
      <c r="I14" s="247">
        <f>ROUND(C14*0.93%,2)</f>
        <v>79.05</v>
      </c>
      <c r="J14" s="406">
        <f>ROUND(C14*4.68%,2)</f>
        <v>397.8</v>
      </c>
      <c r="K14" s="407">
        <f>ROUND(C14*2.63%,2)</f>
        <v>223.55</v>
      </c>
    </row>
    <row r="15" spans="1:11" ht="12" customHeight="1">
      <c r="A15" s="235">
        <v>55200</v>
      </c>
      <c r="B15" s="245" t="s">
        <v>360</v>
      </c>
      <c r="C15" s="246">
        <v>12000</v>
      </c>
      <c r="D15" s="247">
        <f>SUM(E15:F15)</f>
        <v>11011.2</v>
      </c>
      <c r="E15" s="247">
        <v>0</v>
      </c>
      <c r="F15" s="247">
        <f>ROUND(C15*91.76%,2)</f>
        <v>11011.2</v>
      </c>
      <c r="G15" s="247">
        <f t="shared" si="0"/>
        <v>111.6</v>
      </c>
      <c r="H15" s="247">
        <v>0</v>
      </c>
      <c r="I15" s="247">
        <f>ROUND(C15*0.93%,2)</f>
        <v>111.6</v>
      </c>
      <c r="J15" s="406">
        <f>ROUND(C15*4.68%,2)</f>
        <v>561.6</v>
      </c>
      <c r="K15" s="407">
        <f>ROUND(C15*2.63%,2)</f>
        <v>315.6</v>
      </c>
    </row>
    <row r="16" spans="1:11" ht="12" customHeight="1">
      <c r="A16" s="235">
        <v>55300</v>
      </c>
      <c r="B16" s="245" t="s">
        <v>78</v>
      </c>
      <c r="C16" s="246">
        <v>300</v>
      </c>
      <c r="D16" s="247">
        <f>SUM(E16:F16)</f>
        <v>275.28</v>
      </c>
      <c r="E16" s="247">
        <v>0</v>
      </c>
      <c r="F16" s="247">
        <f>ROUND(C16*91.76%,2)</f>
        <v>275.28</v>
      </c>
      <c r="G16" s="247">
        <f t="shared" si="0"/>
        <v>2.79</v>
      </c>
      <c r="H16" s="247">
        <v>0</v>
      </c>
      <c r="I16" s="247">
        <f>ROUND(C16*0.93%,2)</f>
        <v>2.79</v>
      </c>
      <c r="J16" s="406">
        <f>ROUND(C16*4.68%,2)</f>
        <v>14.04</v>
      </c>
      <c r="K16" s="407">
        <f>ROUND(C16*2.63%,2)</f>
        <v>7.89</v>
      </c>
    </row>
    <row r="17" spans="1:11" ht="12" customHeight="1">
      <c r="A17" s="235">
        <v>55400</v>
      </c>
      <c r="B17" s="245" t="s">
        <v>361</v>
      </c>
      <c r="C17" s="246">
        <v>600</v>
      </c>
      <c r="D17" s="247">
        <f>SUM(E17:F17)</f>
        <v>550.56</v>
      </c>
      <c r="E17" s="247">
        <v>0</v>
      </c>
      <c r="F17" s="247">
        <f>ROUND(C17*91.76%,2)</f>
        <v>550.56</v>
      </c>
      <c r="G17" s="247">
        <f t="shared" si="0"/>
        <v>5.58</v>
      </c>
      <c r="H17" s="247">
        <v>0</v>
      </c>
      <c r="I17" s="247">
        <f>ROUND(C17*0.93%,2)</f>
        <v>5.58</v>
      </c>
      <c r="J17" s="406">
        <f>ROUND(C17*4.68%,2)</f>
        <v>28.08</v>
      </c>
      <c r="K17" s="407">
        <f>ROUND(C17*2.63%,2)</f>
        <v>15.78</v>
      </c>
    </row>
    <row r="18" spans="1:11" ht="12" customHeight="1">
      <c r="A18" s="235">
        <v>57000</v>
      </c>
      <c r="B18" s="245" t="s">
        <v>362</v>
      </c>
      <c r="C18" s="246">
        <v>24000</v>
      </c>
      <c r="D18" s="247">
        <v>0</v>
      </c>
      <c r="E18" s="247">
        <v>0</v>
      </c>
      <c r="F18" s="247">
        <v>0</v>
      </c>
      <c r="G18" s="247">
        <f t="shared" si="0"/>
        <v>24000</v>
      </c>
      <c r="H18" s="247">
        <f>ROUND(C18*0.44%,2)</f>
        <v>105.6</v>
      </c>
      <c r="I18" s="247">
        <f>ROUND(C18*99.56%,2)</f>
        <v>23894.4</v>
      </c>
      <c r="J18" s="406">
        <v>0</v>
      </c>
      <c r="K18" s="407">
        <v>0</v>
      </c>
    </row>
    <row r="19" spans="1:11" ht="12" customHeight="1">
      <c r="A19" s="235">
        <v>57200</v>
      </c>
      <c r="B19" s="245" t="s">
        <v>171</v>
      </c>
      <c r="C19" s="246">
        <v>7500</v>
      </c>
      <c r="D19" s="247">
        <v>3200</v>
      </c>
      <c r="E19" s="247">
        <v>3200</v>
      </c>
      <c r="F19" s="247">
        <v>0</v>
      </c>
      <c r="G19" s="247">
        <v>4300</v>
      </c>
      <c r="H19" s="247">
        <v>0</v>
      </c>
      <c r="I19" s="247">
        <v>4300</v>
      </c>
      <c r="J19" s="406">
        <v>0</v>
      </c>
      <c r="K19" s="407">
        <v>0</v>
      </c>
    </row>
    <row r="20" spans="1:13" ht="12" customHeight="1">
      <c r="A20" s="235">
        <v>58900</v>
      </c>
      <c r="B20" s="245" t="s">
        <v>363</v>
      </c>
      <c r="C20" s="246">
        <v>25000</v>
      </c>
      <c r="D20" s="247">
        <f>SUM(E20:F20)</f>
        <v>22940</v>
      </c>
      <c r="E20" s="247">
        <v>0</v>
      </c>
      <c r="F20" s="247">
        <f>ROUND(C20*91.76%,2)</f>
        <v>22940</v>
      </c>
      <c r="G20" s="247">
        <f>SUM(H20:I20)</f>
        <v>232.5</v>
      </c>
      <c r="H20" s="247">
        <v>0</v>
      </c>
      <c r="I20" s="247">
        <f>ROUND(C20*0.93%,2)</f>
        <v>232.5</v>
      </c>
      <c r="J20" s="406">
        <f>ROUND(C20*4.68%,2)-0.01</f>
        <v>1169.99</v>
      </c>
      <c r="K20" s="407">
        <f>ROUND(C20*2.63%,2)</f>
        <v>657.5</v>
      </c>
      <c r="M20" s="248"/>
    </row>
    <row r="21" spans="1:13" ht="12" customHeight="1">
      <c r="A21" s="235">
        <v>67900</v>
      </c>
      <c r="B21" s="245" t="s">
        <v>364</v>
      </c>
      <c r="C21" s="246">
        <f>D21+G21+J21+K21</f>
        <v>197352.13</v>
      </c>
      <c r="D21" s="247">
        <f>SUM(E21:F21)</f>
        <v>122571.66</v>
      </c>
      <c r="E21" s="247">
        <v>14452.43</v>
      </c>
      <c r="F21" s="247">
        <v>108119.23</v>
      </c>
      <c r="G21" s="247">
        <f>SUM(H21:I21)</f>
        <v>70468.93</v>
      </c>
      <c r="H21" s="247">
        <v>1241.75</v>
      </c>
      <c r="I21" s="247">
        <v>69227.18</v>
      </c>
      <c r="J21" s="247">
        <v>2518.23</v>
      </c>
      <c r="K21" s="247">
        <v>1793.31</v>
      </c>
      <c r="M21" s="248"/>
    </row>
    <row r="22" spans="1:11" ht="12" customHeight="1">
      <c r="A22" s="235">
        <v>68000</v>
      </c>
      <c r="B22" s="245" t="s">
        <v>205</v>
      </c>
      <c r="C22" s="246">
        <f>D22+G22+J22+K22</f>
        <v>8655.67</v>
      </c>
      <c r="D22" s="247">
        <f>SUM(E22:F22)</f>
        <v>0</v>
      </c>
      <c r="E22" s="247">
        <v>0</v>
      </c>
      <c r="F22" s="247">
        <v>0</v>
      </c>
      <c r="G22" s="247">
        <f>SUM(H22:I22)</f>
        <v>8655.67</v>
      </c>
      <c r="H22" s="247">
        <v>38.08</v>
      </c>
      <c r="I22" s="247">
        <v>8617.59</v>
      </c>
      <c r="J22" s="249">
        <v>0</v>
      </c>
      <c r="K22" s="247">
        <v>0</v>
      </c>
    </row>
    <row r="23" spans="1:11" ht="12" customHeight="1">
      <c r="A23" s="235">
        <v>68500</v>
      </c>
      <c r="B23" s="245" t="s">
        <v>206</v>
      </c>
      <c r="C23" s="246">
        <f>D23+G23+J23+K23</f>
        <v>2337.03</v>
      </c>
      <c r="D23" s="247">
        <f>SUM(E23:F23)</f>
        <v>0</v>
      </c>
      <c r="E23" s="247">
        <v>0</v>
      </c>
      <c r="F23" s="247">
        <v>0</v>
      </c>
      <c r="G23" s="247">
        <f>SUM(H23:I23)</f>
        <v>2337.03</v>
      </c>
      <c r="H23" s="247">
        <v>10.28</v>
      </c>
      <c r="I23" s="247">
        <v>2326.75</v>
      </c>
      <c r="J23" s="249">
        <v>0</v>
      </c>
      <c r="K23" s="247">
        <v>0</v>
      </c>
    </row>
    <row r="24" spans="1:12" ht="9.75">
      <c r="A24" s="235"/>
      <c r="B24" s="245" t="s">
        <v>193</v>
      </c>
      <c r="C24" s="246">
        <f>SUM(C11:C23)-0.02</f>
        <v>320744.81</v>
      </c>
      <c r="D24" s="246">
        <f>SUM(D12:D21)+SUM(D22:D23)</f>
        <v>191380.06</v>
      </c>
      <c r="E24" s="246">
        <f>SUM(E11:E23)</f>
        <v>17652.43</v>
      </c>
      <c r="F24" s="246">
        <f>SUM(F11:F23)</f>
        <v>173727.63</v>
      </c>
      <c r="G24" s="246">
        <f>SUM(G11:G21)+SUM(G22:G23)-0.01</f>
        <v>119826.56999999999</v>
      </c>
      <c r="H24" s="246">
        <f>SUM(H11:H23)</f>
        <v>1417.7099999999998</v>
      </c>
      <c r="I24" s="246">
        <f>SUM(I11:I23)-0.01</f>
        <v>118408.86</v>
      </c>
      <c r="J24" s="246">
        <f>SUM(J12:J21)+SUM(J22:J23)</f>
        <v>5864.42</v>
      </c>
      <c r="K24" s="246">
        <f>SUM(K12:K21)+SUM(K22:K23)</f>
        <v>3673.76</v>
      </c>
      <c r="L24" s="68"/>
    </row>
    <row r="25" spans="1:11" ht="8.25">
      <c r="A25" s="250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9">
      <c r="A26" s="399" t="s">
        <v>365</v>
      </c>
      <c r="C26" s="251"/>
      <c r="D26" s="251"/>
      <c r="E26" s="251"/>
      <c r="F26" s="251"/>
      <c r="G26" s="251"/>
      <c r="H26" s="251"/>
      <c r="I26" s="251"/>
      <c r="J26" s="251"/>
      <c r="K26" s="251"/>
    </row>
    <row r="27" spans="1:11" ht="8.25">
      <c r="A27" s="252" t="s">
        <v>320</v>
      </c>
      <c r="C27" s="251"/>
      <c r="D27" s="251"/>
      <c r="E27" s="251"/>
      <c r="F27" s="251"/>
      <c r="G27" s="251"/>
      <c r="H27" s="251"/>
      <c r="I27" s="251"/>
      <c r="J27" s="251"/>
      <c r="K27" s="251"/>
    </row>
    <row r="28" spans="1:11" ht="9">
      <c r="A28" s="222" t="s">
        <v>327</v>
      </c>
      <c r="B28" s="222" t="s">
        <v>328</v>
      </c>
      <c r="C28" s="223" t="s">
        <v>467</v>
      </c>
      <c r="D28" s="223" t="s">
        <v>366</v>
      </c>
      <c r="E28" s="388"/>
      <c r="F28" s="389"/>
      <c r="G28" s="223" t="s">
        <v>367</v>
      </c>
      <c r="H28" s="388"/>
      <c r="I28" s="389"/>
      <c r="J28" s="224" t="s">
        <v>331</v>
      </c>
      <c r="K28" s="222" t="s">
        <v>332</v>
      </c>
    </row>
    <row r="29" spans="1:11" ht="9">
      <c r="A29" s="225"/>
      <c r="B29" s="226"/>
      <c r="C29" s="227"/>
      <c r="D29" s="228" t="s">
        <v>368</v>
      </c>
      <c r="E29" s="484" t="s">
        <v>369</v>
      </c>
      <c r="F29" s="485"/>
      <c r="G29" s="228" t="s">
        <v>370</v>
      </c>
      <c r="H29" s="484" t="s">
        <v>369</v>
      </c>
      <c r="I29" s="485"/>
      <c r="J29" s="229" t="s">
        <v>333</v>
      </c>
      <c r="K29" s="225" t="s">
        <v>334</v>
      </c>
    </row>
    <row r="30" spans="1:11" ht="9">
      <c r="A30" s="226"/>
      <c r="B30" s="226"/>
      <c r="C30" s="227"/>
      <c r="D30" s="226"/>
      <c r="E30" s="230" t="s">
        <v>320</v>
      </c>
      <c r="F30" s="230"/>
      <c r="G30" s="226"/>
      <c r="H30" s="230"/>
      <c r="I30" s="230"/>
      <c r="J30" s="229" t="s">
        <v>335</v>
      </c>
      <c r="K30" s="226"/>
    </row>
    <row r="31" spans="1:11" ht="9">
      <c r="A31" s="231"/>
      <c r="B31" s="232"/>
      <c r="C31" s="233" t="s">
        <v>336</v>
      </c>
      <c r="D31" s="231" t="s">
        <v>337</v>
      </c>
      <c r="E31" s="231" t="s">
        <v>194</v>
      </c>
      <c r="F31" s="231" t="s">
        <v>195</v>
      </c>
      <c r="G31" s="231" t="s">
        <v>338</v>
      </c>
      <c r="H31" s="231" t="s">
        <v>194</v>
      </c>
      <c r="I31" s="231" t="s">
        <v>196</v>
      </c>
      <c r="J31" s="234" t="s">
        <v>339</v>
      </c>
      <c r="K31" s="231" t="s">
        <v>340</v>
      </c>
    </row>
    <row r="32" spans="1:11" s="13" customFormat="1" ht="9">
      <c r="A32" s="235" t="s">
        <v>341</v>
      </c>
      <c r="B32" s="235" t="s">
        <v>342</v>
      </c>
      <c r="C32" s="236" t="s">
        <v>371</v>
      </c>
      <c r="D32" s="237" t="s">
        <v>372</v>
      </c>
      <c r="E32" s="237" t="s">
        <v>373</v>
      </c>
      <c r="F32" s="237" t="s">
        <v>374</v>
      </c>
      <c r="G32" s="237" t="s">
        <v>375</v>
      </c>
      <c r="H32" s="237" t="s">
        <v>376</v>
      </c>
      <c r="I32" s="237" t="s">
        <v>377</v>
      </c>
      <c r="J32" s="238" t="s">
        <v>350</v>
      </c>
      <c r="K32" s="237" t="s">
        <v>351</v>
      </c>
    </row>
    <row r="33" spans="1:12" s="71" customFormat="1" ht="12" customHeight="1">
      <c r="A33" s="239"/>
      <c r="B33" s="239" t="s">
        <v>378</v>
      </c>
      <c r="C33" s="240"/>
      <c r="D33" s="241"/>
      <c r="E33" s="241" t="s">
        <v>352</v>
      </c>
      <c r="F33" s="241" t="s">
        <v>353</v>
      </c>
      <c r="G33" s="241"/>
      <c r="H33" s="241" t="s">
        <v>354</v>
      </c>
      <c r="I33" s="241" t="s">
        <v>355</v>
      </c>
      <c r="J33" s="242" t="s">
        <v>356</v>
      </c>
      <c r="K33" s="243" t="s">
        <v>357</v>
      </c>
      <c r="L33" s="244"/>
    </row>
    <row r="34" spans="1:11" ht="12" customHeight="1">
      <c r="A34" s="235">
        <v>11200</v>
      </c>
      <c r="B34" s="245" t="s">
        <v>379</v>
      </c>
      <c r="C34" s="246">
        <f>D34+G34</f>
        <v>198794.56</v>
      </c>
      <c r="D34" s="247">
        <f>E34+F34</f>
        <v>119871.46</v>
      </c>
      <c r="E34" s="247">
        <v>12084.66</v>
      </c>
      <c r="F34" s="247">
        <v>107786.8</v>
      </c>
      <c r="G34" s="247">
        <f>H34+I34</f>
        <v>78923.09999999999</v>
      </c>
      <c r="H34" s="247">
        <v>968.76</v>
      </c>
      <c r="I34" s="247">
        <v>77954.34</v>
      </c>
      <c r="J34" s="249">
        <v>0</v>
      </c>
      <c r="K34" s="247">
        <v>0</v>
      </c>
    </row>
    <row r="35" spans="1:12" ht="12" customHeight="1">
      <c r="A35" s="235"/>
      <c r="B35" s="245" t="s">
        <v>380</v>
      </c>
      <c r="C35" s="390"/>
      <c r="D35" s="391"/>
      <c r="E35" s="391"/>
      <c r="F35" s="391"/>
      <c r="G35" s="391"/>
      <c r="H35" s="391"/>
      <c r="I35" s="391"/>
      <c r="J35" s="392"/>
      <c r="K35" s="391"/>
      <c r="L35" s="68"/>
    </row>
    <row r="36" spans="1:11" ht="12" customHeight="1">
      <c r="A36" s="235">
        <v>16900</v>
      </c>
      <c r="B36" s="245" t="s">
        <v>6</v>
      </c>
      <c r="C36" s="390"/>
      <c r="D36" s="391"/>
      <c r="E36" s="391"/>
      <c r="F36" s="391"/>
      <c r="G36" s="391"/>
      <c r="H36" s="391"/>
      <c r="I36" s="391"/>
      <c r="J36" s="392"/>
      <c r="K36" s="391"/>
    </row>
    <row r="37" spans="1:11" ht="12" customHeight="1">
      <c r="A37" s="235"/>
      <c r="B37" s="245" t="s">
        <v>381</v>
      </c>
      <c r="C37" s="390">
        <f>D37+G37</f>
        <v>66163.64</v>
      </c>
      <c r="D37" s="391">
        <f>E37+F37</f>
        <v>39942.47</v>
      </c>
      <c r="E37" s="391">
        <v>4028.94</v>
      </c>
      <c r="F37" s="391">
        <v>35913.53</v>
      </c>
      <c r="G37" s="391">
        <f>H37+I37</f>
        <v>26221.17</v>
      </c>
      <c r="H37" s="391">
        <v>323.76</v>
      </c>
      <c r="I37" s="391">
        <v>25897.41</v>
      </c>
      <c r="J37" s="392">
        <v>0</v>
      </c>
      <c r="K37" s="391">
        <v>0</v>
      </c>
    </row>
    <row r="38" spans="1:11" ht="12" customHeight="1">
      <c r="A38" s="235"/>
      <c r="B38" s="245" t="s">
        <v>382</v>
      </c>
      <c r="C38" s="390"/>
      <c r="D38" s="391"/>
      <c r="E38" s="391"/>
      <c r="F38" s="391"/>
      <c r="G38" s="391"/>
      <c r="H38" s="391"/>
      <c r="I38" s="391"/>
      <c r="J38" s="392"/>
      <c r="K38" s="391"/>
    </row>
    <row r="39" spans="1:11" ht="12" customHeight="1">
      <c r="A39" s="235"/>
      <c r="B39" s="245" t="s">
        <v>383</v>
      </c>
      <c r="C39" s="390">
        <f>D39+G39+J39+K39</f>
        <v>-303.67</v>
      </c>
      <c r="D39" s="391">
        <v>-44.06</v>
      </c>
      <c r="E39" s="391">
        <v>2.16</v>
      </c>
      <c r="F39" s="391">
        <v>-46.22</v>
      </c>
      <c r="G39" s="391">
        <f>SUM(H39:I39)</f>
        <v>-259.61</v>
      </c>
      <c r="H39" s="391">
        <v>2.52</v>
      </c>
      <c r="I39" s="391">
        <v>-262.13</v>
      </c>
      <c r="J39" s="392">
        <v>0</v>
      </c>
      <c r="K39" s="391">
        <v>0</v>
      </c>
    </row>
    <row r="40" spans="1:11" ht="12" customHeight="1">
      <c r="A40" s="235"/>
      <c r="B40" s="245" t="s">
        <v>384</v>
      </c>
      <c r="C40" s="390">
        <f>D40+G40+J40</f>
        <v>43790.68</v>
      </c>
      <c r="D40" s="391">
        <f>E40+F40</f>
        <v>23846.93</v>
      </c>
      <c r="E40" s="391">
        <v>1479.22</v>
      </c>
      <c r="F40" s="391">
        <v>22367.71</v>
      </c>
      <c r="G40" s="391">
        <f>H40+I40</f>
        <v>14079.33</v>
      </c>
      <c r="H40" s="391">
        <v>118.87</v>
      </c>
      <c r="I40" s="391">
        <v>13960.46</v>
      </c>
      <c r="J40" s="392">
        <v>5864.42</v>
      </c>
      <c r="K40" s="391">
        <v>0</v>
      </c>
    </row>
    <row r="41" spans="1:13" ht="12" customHeight="1">
      <c r="A41" s="235"/>
      <c r="B41" s="245" t="s">
        <v>385</v>
      </c>
      <c r="C41" s="390"/>
      <c r="D41" s="391"/>
      <c r="E41" s="391"/>
      <c r="F41" s="391"/>
      <c r="G41" s="391"/>
      <c r="H41" s="391"/>
      <c r="I41" s="391"/>
      <c r="J41" s="392"/>
      <c r="K41" s="391"/>
      <c r="M41" s="248"/>
    </row>
    <row r="42" spans="1:13" ht="12" customHeight="1">
      <c r="A42" s="235"/>
      <c r="B42" s="245" t="s">
        <v>386</v>
      </c>
      <c r="C42" s="390">
        <v>3673.76</v>
      </c>
      <c r="D42" s="391"/>
      <c r="E42" s="391"/>
      <c r="F42" s="391"/>
      <c r="G42" s="391"/>
      <c r="H42" s="391"/>
      <c r="I42" s="391"/>
      <c r="J42" s="392"/>
      <c r="K42" s="391">
        <v>3673.76</v>
      </c>
      <c r="M42" s="248"/>
    </row>
    <row r="43" spans="1:11" ht="9">
      <c r="A43" s="235">
        <v>28006</v>
      </c>
      <c r="B43" s="393" t="s">
        <v>387</v>
      </c>
      <c r="C43" s="394">
        <v>8625.84</v>
      </c>
      <c r="D43" s="395">
        <f>SUM(E43:F43)</f>
        <v>7763.26</v>
      </c>
      <c r="E43" s="396">
        <v>57.45</v>
      </c>
      <c r="F43" s="396">
        <v>7705.81</v>
      </c>
      <c r="G43" s="395">
        <f>SUM(H43:I43)</f>
        <v>862.5799999999999</v>
      </c>
      <c r="H43" s="396">
        <v>3.8</v>
      </c>
      <c r="I43" s="396">
        <v>858.78</v>
      </c>
      <c r="J43" s="397">
        <v>0</v>
      </c>
      <c r="K43" s="398">
        <v>0</v>
      </c>
    </row>
    <row r="44" spans="1:11" ht="9">
      <c r="A44" s="235"/>
      <c r="B44" s="245" t="s">
        <v>193</v>
      </c>
      <c r="C44" s="246">
        <f>SUM(C34:C43)</f>
        <v>320744.81000000006</v>
      </c>
      <c r="D44" s="395">
        <f aca="true" t="shared" si="1" ref="D44:K44">SUM(D34:D43)</f>
        <v>191380.06</v>
      </c>
      <c r="E44" s="398">
        <f t="shared" si="1"/>
        <v>17652.43</v>
      </c>
      <c r="F44" s="396">
        <f t="shared" si="1"/>
        <v>173727.63</v>
      </c>
      <c r="G44" s="395">
        <f t="shared" si="1"/>
        <v>119826.56999999999</v>
      </c>
      <c r="H44" s="398">
        <f t="shared" si="1"/>
        <v>1417.7099999999998</v>
      </c>
      <c r="I44" s="396">
        <f t="shared" si="1"/>
        <v>118408.85999999999</v>
      </c>
      <c r="J44" s="397">
        <f t="shared" si="1"/>
        <v>5864.42</v>
      </c>
      <c r="K44" s="398">
        <f t="shared" si="1"/>
        <v>3673.76</v>
      </c>
    </row>
    <row r="45" spans="3:12" ht="9">
      <c r="C45" s="402">
        <f>C44-C24</f>
        <v>0</v>
      </c>
      <c r="D45" s="399" t="s">
        <v>460</v>
      </c>
      <c r="L45" s="68"/>
    </row>
    <row r="46" ht="8.25">
      <c r="C46" s="221"/>
    </row>
    <row r="47" spans="1:2" ht="9">
      <c r="A47" s="400" t="s">
        <v>388</v>
      </c>
      <c r="B47" s="401" t="s">
        <v>389</v>
      </c>
    </row>
    <row r="48" spans="1:2" ht="9">
      <c r="A48" s="400"/>
      <c r="B48" s="400" t="s">
        <v>472</v>
      </c>
    </row>
  </sheetData>
  <mergeCells count="6">
    <mergeCell ref="E29:F29"/>
    <mergeCell ref="H29:I29"/>
    <mergeCell ref="D5:F5"/>
    <mergeCell ref="G5:I5"/>
    <mergeCell ref="E6:F6"/>
    <mergeCell ref="H6:I6"/>
  </mergeCells>
  <printOptions/>
  <pageMargins left="0.5905511811023623" right="0.1968503937007874" top="0.5905511811023623" bottom="0.1968503937007874" header="0.7086614173228347" footer="0.5118110236220472"/>
  <pageSetup horizontalDpi="300" verticalDpi="300" orientation="landscape" paperSize="9" r:id="rId3"/>
  <headerFooter alignWithMargins="0">
    <oddFooter>&amp;R&amp;8&amp;D /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8"/>
  <sheetViews>
    <sheetView workbookViewId="0" topLeftCell="A420">
      <selection activeCell="C440" sqref="C440"/>
    </sheetView>
  </sheetViews>
  <sheetFormatPr defaultColWidth="11.421875" defaultRowHeight="12.75"/>
  <cols>
    <col min="1" max="1" width="4.00390625" style="1" customWidth="1"/>
    <col min="2" max="5" width="10.00390625" style="1" customWidth="1"/>
    <col min="6" max="6" width="3.00390625" style="1" customWidth="1"/>
    <col min="7" max="7" width="14.00390625" style="1" customWidth="1"/>
    <col min="8" max="8" width="7.00390625" style="1" customWidth="1"/>
    <col min="9" max="9" width="14.00390625" style="1" customWidth="1"/>
    <col min="10" max="10" width="2.00390625" style="1" customWidth="1"/>
    <col min="11" max="11" width="15.00390625" style="3" customWidth="1"/>
    <col min="12" max="12" width="11.57421875" style="1" customWidth="1"/>
    <col min="13" max="16384" width="10.00390625" style="1" customWidth="1"/>
  </cols>
  <sheetData>
    <row r="1" spans="1:12" ht="12.75">
      <c r="A1" s="8" t="s">
        <v>478</v>
      </c>
      <c r="B1" s="8"/>
      <c r="C1" s="11"/>
      <c r="D1" s="11"/>
      <c r="E1" s="11"/>
      <c r="F1" s="11"/>
      <c r="G1" s="11"/>
      <c r="H1" s="11"/>
      <c r="I1" s="11"/>
      <c r="J1" s="11"/>
      <c r="K1" s="6" t="s">
        <v>467</v>
      </c>
      <c r="L1" s="11"/>
    </row>
    <row r="2" spans="1:12" ht="12.75">
      <c r="A2" s="8"/>
      <c r="B2" s="8"/>
      <c r="C2" s="11"/>
      <c r="D2" s="11"/>
      <c r="E2" s="11"/>
      <c r="F2" s="11"/>
      <c r="G2" s="11"/>
      <c r="H2" s="11"/>
      <c r="I2" s="11"/>
      <c r="J2" s="11"/>
      <c r="K2" s="320" t="s">
        <v>303</v>
      </c>
      <c r="L2" s="11"/>
    </row>
    <row r="3" spans="1:12" ht="12.75">
      <c r="A3" s="321"/>
      <c r="B3" s="322"/>
      <c r="C3" s="323"/>
      <c r="D3" s="323"/>
      <c r="E3" s="323"/>
      <c r="F3" s="323"/>
      <c r="G3" s="323"/>
      <c r="H3" s="323"/>
      <c r="I3" s="323"/>
      <c r="J3" s="323"/>
      <c r="K3" s="324"/>
      <c r="L3" s="325"/>
    </row>
    <row r="4" spans="1:12" ht="12.75">
      <c r="A4" s="326" t="s">
        <v>0</v>
      </c>
      <c r="B4" s="202" t="s">
        <v>1</v>
      </c>
      <c r="C4" s="327"/>
      <c r="D4" s="327"/>
      <c r="E4" s="327"/>
      <c r="F4" s="327"/>
      <c r="G4" s="327"/>
      <c r="H4" s="327"/>
      <c r="I4" s="327"/>
      <c r="J4" s="327"/>
      <c r="K4" s="315"/>
      <c r="L4" s="328"/>
    </row>
    <row r="5" spans="1:12" ht="12.75">
      <c r="A5" s="317"/>
      <c r="B5" s="8"/>
      <c r="C5" s="11"/>
      <c r="D5" s="11"/>
      <c r="E5" s="11"/>
      <c r="F5" s="11"/>
      <c r="G5" s="11"/>
      <c r="H5" s="11"/>
      <c r="I5" s="11"/>
      <c r="J5" s="11"/>
      <c r="L5" s="329"/>
    </row>
    <row r="6" spans="1:12" ht="12.75">
      <c r="A6" s="317" t="s">
        <v>2</v>
      </c>
      <c r="B6" s="8" t="s">
        <v>3</v>
      </c>
      <c r="C6" s="11"/>
      <c r="D6" s="11"/>
      <c r="E6" s="11"/>
      <c r="F6" s="11"/>
      <c r="G6" s="11"/>
      <c r="H6" s="11"/>
      <c r="I6" s="11"/>
      <c r="J6" s="11"/>
      <c r="K6" s="320"/>
      <c r="L6" s="329"/>
    </row>
    <row r="7" spans="1:12" ht="12.75">
      <c r="A7" s="330"/>
      <c r="B7" s="11"/>
      <c r="C7" s="11"/>
      <c r="D7" s="11"/>
      <c r="E7" s="11"/>
      <c r="F7" s="11"/>
      <c r="G7" s="11"/>
      <c r="H7" s="11"/>
      <c r="I7" s="11"/>
      <c r="J7" s="11"/>
      <c r="K7" s="320"/>
      <c r="L7" s="329"/>
    </row>
    <row r="8" spans="1:12" ht="12.75">
      <c r="A8" s="330" t="s">
        <v>4</v>
      </c>
      <c r="B8" s="8" t="s">
        <v>168</v>
      </c>
      <c r="C8" s="8" t="s">
        <v>171</v>
      </c>
      <c r="D8" s="8"/>
      <c r="E8" s="11"/>
      <c r="F8" s="11"/>
      <c r="G8" s="11"/>
      <c r="H8" s="11"/>
      <c r="I8" s="11"/>
      <c r="J8" s="11"/>
      <c r="K8" s="3">
        <v>3200</v>
      </c>
      <c r="L8" s="329"/>
    </row>
    <row r="9" spans="1:12" ht="12.75">
      <c r="A9" s="317"/>
      <c r="B9" s="8"/>
      <c r="C9" s="11" t="s">
        <v>390</v>
      </c>
      <c r="D9" s="11"/>
      <c r="E9" s="11"/>
      <c r="F9" s="11"/>
      <c r="G9" s="11"/>
      <c r="H9" s="11"/>
      <c r="I9" s="11"/>
      <c r="J9" s="11"/>
      <c r="K9" s="320"/>
      <c r="L9" s="329"/>
    </row>
    <row r="10" spans="1:12" ht="12.75">
      <c r="A10" s="317"/>
      <c r="B10" s="8"/>
      <c r="C10" s="15">
        <v>52</v>
      </c>
      <c r="D10" s="16" t="s">
        <v>392</v>
      </c>
      <c r="E10" s="15">
        <v>61.53</v>
      </c>
      <c r="F10" s="15" t="s">
        <v>391</v>
      </c>
      <c r="G10" s="408">
        <f>E10*C10</f>
        <v>3199.56</v>
      </c>
      <c r="H10" s="15" t="s">
        <v>140</v>
      </c>
      <c r="I10" s="11"/>
      <c r="J10" s="11"/>
      <c r="K10" s="320"/>
      <c r="L10" s="329"/>
    </row>
    <row r="11" spans="1:12" ht="12.75">
      <c r="A11" s="330"/>
      <c r="B11" s="11"/>
      <c r="C11" s="11"/>
      <c r="D11" s="11"/>
      <c r="E11" s="11"/>
      <c r="F11" s="11"/>
      <c r="G11" s="11"/>
      <c r="H11" s="11"/>
      <c r="I11" s="11"/>
      <c r="J11" s="11"/>
      <c r="K11" s="320"/>
      <c r="L11" s="329"/>
    </row>
    <row r="12" spans="1:12" ht="12.75">
      <c r="A12" s="330" t="s">
        <v>55</v>
      </c>
      <c r="B12" s="8" t="s">
        <v>5</v>
      </c>
      <c r="C12" s="8" t="s">
        <v>6</v>
      </c>
      <c r="D12" s="8"/>
      <c r="E12" s="11"/>
      <c r="F12" s="11"/>
      <c r="G12" s="11"/>
      <c r="H12" s="11"/>
      <c r="I12" s="11"/>
      <c r="J12" s="11"/>
      <c r="L12" s="329"/>
    </row>
    <row r="13" spans="1:12" ht="12.75">
      <c r="A13" s="330"/>
      <c r="B13" s="11"/>
      <c r="C13" s="11"/>
      <c r="D13" s="11"/>
      <c r="E13" s="11"/>
      <c r="F13" s="11"/>
      <c r="G13" s="11"/>
      <c r="H13" s="11"/>
      <c r="I13" s="11"/>
      <c r="J13" s="11"/>
      <c r="L13" s="329"/>
    </row>
    <row r="14" spans="1:12" ht="12.75">
      <c r="A14" s="330" t="s">
        <v>81</v>
      </c>
      <c r="B14" s="11"/>
      <c r="C14" s="7" t="s">
        <v>57</v>
      </c>
      <c r="D14" s="11"/>
      <c r="E14" s="11"/>
      <c r="F14" s="11"/>
      <c r="G14" s="11"/>
      <c r="H14" s="11"/>
      <c r="I14" s="11"/>
      <c r="J14" s="11"/>
      <c r="L14" s="329"/>
    </row>
    <row r="15" spans="1:12" ht="12.75">
      <c r="A15" s="330" t="s">
        <v>149</v>
      </c>
      <c r="B15" s="11"/>
      <c r="C15" s="11" t="s">
        <v>304</v>
      </c>
      <c r="D15" s="11"/>
      <c r="E15" s="11"/>
      <c r="F15" s="11"/>
      <c r="G15" s="11"/>
      <c r="H15" s="11"/>
      <c r="I15" s="11"/>
      <c r="J15" s="11"/>
      <c r="L15" s="329"/>
    </row>
    <row r="16" spans="1:12" ht="12.75">
      <c r="A16" s="330"/>
      <c r="B16" s="11"/>
      <c r="C16" s="11" t="s">
        <v>305</v>
      </c>
      <c r="D16" s="11"/>
      <c r="E16" s="11"/>
      <c r="F16" s="331" t="s">
        <v>394</v>
      </c>
      <c r="G16" s="332">
        <v>19.48</v>
      </c>
      <c r="H16" s="11" t="s">
        <v>166</v>
      </c>
      <c r="I16" s="11"/>
      <c r="J16" s="11"/>
      <c r="L16" s="329"/>
    </row>
    <row r="17" spans="1:12" ht="12.75">
      <c r="A17" s="330"/>
      <c r="B17" s="11"/>
      <c r="C17" s="11" t="s">
        <v>310</v>
      </c>
      <c r="D17" s="333">
        <v>550</v>
      </c>
      <c r="E17" s="11" t="s">
        <v>8</v>
      </c>
      <c r="F17" s="11"/>
      <c r="G17" s="11"/>
      <c r="H17" s="11"/>
      <c r="I17" s="11"/>
      <c r="J17" s="11"/>
      <c r="K17" s="3">
        <f>ROUND(G16*D17,2)</f>
        <v>10714</v>
      </c>
      <c r="L17" s="329"/>
    </row>
    <row r="18" spans="1:12" ht="12.75">
      <c r="A18" s="330"/>
      <c r="B18" s="11"/>
      <c r="C18" s="11" t="s">
        <v>9</v>
      </c>
      <c r="D18" s="334">
        <v>0.1</v>
      </c>
      <c r="E18" s="11" t="s">
        <v>10</v>
      </c>
      <c r="F18" s="11"/>
      <c r="G18" s="13"/>
      <c r="H18" s="13"/>
      <c r="I18" s="13"/>
      <c r="J18" s="11"/>
      <c r="K18" s="3">
        <f>ROUND(K17*D18,2)</f>
        <v>1071.4</v>
      </c>
      <c r="L18" s="329"/>
    </row>
    <row r="19" spans="1:12" ht="12.75">
      <c r="A19" s="330"/>
      <c r="B19" s="11"/>
      <c r="C19" s="11"/>
      <c r="D19" s="334">
        <v>0.15</v>
      </c>
      <c r="E19" s="11" t="s">
        <v>11</v>
      </c>
      <c r="F19" s="11"/>
      <c r="G19" s="13"/>
      <c r="H19" s="13"/>
      <c r="I19" s="13"/>
      <c r="J19" s="11"/>
      <c r="K19" s="3">
        <f>ROUND(K17*D19,2)</f>
        <v>1607.1</v>
      </c>
      <c r="L19" s="329"/>
    </row>
    <row r="20" spans="1:12" ht="12.75">
      <c r="A20" s="330"/>
      <c r="B20" s="11"/>
      <c r="C20" s="11"/>
      <c r="D20" s="11"/>
      <c r="E20" s="11"/>
      <c r="F20" s="11"/>
      <c r="G20" s="11"/>
      <c r="H20" s="11"/>
      <c r="I20" s="11"/>
      <c r="J20" s="11"/>
      <c r="L20" s="329"/>
    </row>
    <row r="21" spans="1:12" ht="12.75">
      <c r="A21" s="330" t="s">
        <v>150</v>
      </c>
      <c r="B21" s="11"/>
      <c r="C21" s="7" t="s">
        <v>12</v>
      </c>
      <c r="D21" s="11"/>
      <c r="E21" s="335" t="s">
        <v>13</v>
      </c>
      <c r="F21" s="11"/>
      <c r="G21" s="335" t="s">
        <v>166</v>
      </c>
      <c r="H21" s="11"/>
      <c r="I21" s="11"/>
      <c r="J21" s="11"/>
      <c r="L21" s="329"/>
    </row>
    <row r="22" spans="1:12" ht="12.75">
      <c r="A22" s="330"/>
      <c r="B22" s="11"/>
      <c r="C22" s="11" t="s">
        <v>172</v>
      </c>
      <c r="D22" s="11"/>
      <c r="E22" s="336">
        <v>220</v>
      </c>
      <c r="F22" s="11"/>
      <c r="G22" s="409">
        <v>1.63</v>
      </c>
      <c r="H22" s="11"/>
      <c r="I22" s="310"/>
      <c r="J22" s="11"/>
      <c r="K22" s="3">
        <f>ROUND(E22*G22,2)</f>
        <v>358.6</v>
      </c>
      <c r="L22" s="329"/>
    </row>
    <row r="23" spans="1:12" ht="12.75">
      <c r="A23" s="330"/>
      <c r="B23" s="11"/>
      <c r="C23" s="11" t="s">
        <v>14</v>
      </c>
      <c r="D23" s="11" t="s">
        <v>152</v>
      </c>
      <c r="E23" s="336">
        <v>5</v>
      </c>
      <c r="F23" s="11"/>
      <c r="G23" s="409">
        <v>3.23</v>
      </c>
      <c r="H23" s="11"/>
      <c r="I23" s="310"/>
      <c r="J23" s="11"/>
      <c r="K23" s="3">
        <f>ROUND(E23*G23,2)</f>
        <v>16.15</v>
      </c>
      <c r="L23" s="329"/>
    </row>
    <row r="24" spans="1:12" ht="12.75">
      <c r="A24" s="330"/>
      <c r="B24" s="11"/>
      <c r="C24" s="11"/>
      <c r="D24" s="11"/>
      <c r="E24" s="11"/>
      <c r="F24" s="11"/>
      <c r="G24" s="11"/>
      <c r="H24" s="11"/>
      <c r="I24" s="11"/>
      <c r="J24" s="11"/>
      <c r="L24" s="329"/>
    </row>
    <row r="25" spans="1:12" ht="12.75">
      <c r="A25" s="337" t="s">
        <v>60</v>
      </c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L25" s="329"/>
    </row>
    <row r="26" spans="1:12" ht="12.75">
      <c r="A26" s="330"/>
      <c r="B26" s="11"/>
      <c r="C26" s="11" t="s">
        <v>312</v>
      </c>
      <c r="D26" s="11"/>
      <c r="E26" s="11"/>
      <c r="F26" s="11"/>
      <c r="G26" s="410">
        <v>40456</v>
      </c>
      <c r="H26" s="11" t="s">
        <v>324</v>
      </c>
      <c r="I26" s="11"/>
      <c r="J26" s="11"/>
      <c r="L26" s="329"/>
    </row>
    <row r="27" spans="1:12" ht="12.75">
      <c r="A27" s="330"/>
      <c r="B27" s="11"/>
      <c r="C27" s="11" t="s">
        <v>7</v>
      </c>
      <c r="D27" s="334">
        <v>0.008</v>
      </c>
      <c r="E27" s="11" t="s">
        <v>16</v>
      </c>
      <c r="F27" s="11"/>
      <c r="G27" s="11"/>
      <c r="H27" s="11"/>
      <c r="I27" s="11"/>
      <c r="J27" s="11"/>
      <c r="K27" s="3">
        <f>ROUND(G26*D27,2)</f>
        <v>323.65</v>
      </c>
      <c r="L27" s="329"/>
    </row>
    <row r="28" spans="1:12" ht="12.75">
      <c r="A28" s="330"/>
      <c r="B28" s="11"/>
      <c r="C28" s="11" t="s">
        <v>9</v>
      </c>
      <c r="D28" s="334">
        <v>0.1</v>
      </c>
      <c r="E28" s="11" t="s">
        <v>10</v>
      </c>
      <c r="F28" s="11"/>
      <c r="G28" s="13"/>
      <c r="H28" s="11"/>
      <c r="I28" s="11"/>
      <c r="J28" s="11"/>
      <c r="K28" s="3">
        <f>ROUND(K27*D28,2)</f>
        <v>32.37</v>
      </c>
      <c r="L28" s="329"/>
    </row>
    <row r="29" spans="1:12" ht="12.75">
      <c r="A29" s="330"/>
      <c r="B29" s="11"/>
      <c r="C29" s="11"/>
      <c r="D29" s="334">
        <v>0.2</v>
      </c>
      <c r="E29" s="11" t="s">
        <v>11</v>
      </c>
      <c r="F29" s="11"/>
      <c r="G29" s="13"/>
      <c r="H29" s="11"/>
      <c r="I29" s="11"/>
      <c r="J29" s="11"/>
      <c r="K29" s="3">
        <f>ROUND(K27*D29,2)</f>
        <v>64.73</v>
      </c>
      <c r="L29" s="338"/>
    </row>
    <row r="30" spans="1:12" ht="12.75">
      <c r="A30" s="330"/>
      <c r="B30" s="11"/>
      <c r="C30" s="11"/>
      <c r="D30" s="11"/>
      <c r="E30" s="11"/>
      <c r="F30" s="11"/>
      <c r="G30" s="11"/>
      <c r="H30" s="11"/>
      <c r="I30" s="11"/>
      <c r="J30" s="11"/>
      <c r="L30" s="329"/>
    </row>
    <row r="31" spans="1:12" ht="12.75">
      <c r="A31" s="330" t="s">
        <v>62</v>
      </c>
      <c r="B31" s="11"/>
      <c r="C31" s="11" t="s">
        <v>300</v>
      </c>
      <c r="D31" s="11"/>
      <c r="E31" s="11"/>
      <c r="F31" s="11"/>
      <c r="G31" s="11"/>
      <c r="H31" s="11"/>
      <c r="I31" s="310" t="s">
        <v>322</v>
      </c>
      <c r="J31" s="11"/>
      <c r="K31" s="3">
        <v>264.43</v>
      </c>
      <c r="L31" s="329"/>
    </row>
    <row r="32" spans="1:12" ht="12.75">
      <c r="A32" s="330"/>
      <c r="B32" s="11"/>
      <c r="C32" s="15" t="s">
        <v>323</v>
      </c>
      <c r="D32" s="11"/>
      <c r="E32" s="11"/>
      <c r="F32" s="11"/>
      <c r="G32" s="11"/>
      <c r="H32" s="11"/>
      <c r="I32" s="11"/>
      <c r="J32" s="11"/>
      <c r="L32" s="329"/>
    </row>
    <row r="33" spans="1:12" ht="12.75">
      <c r="A33" s="339"/>
      <c r="B33" s="340"/>
      <c r="C33" s="340"/>
      <c r="D33" s="340"/>
      <c r="E33" s="340"/>
      <c r="F33" s="340"/>
      <c r="G33" s="340"/>
      <c r="H33" s="340"/>
      <c r="I33" s="340"/>
      <c r="J33" s="340"/>
      <c r="K33" s="4"/>
      <c r="L33" s="341"/>
    </row>
    <row r="34" spans="1:12" ht="12.75">
      <c r="A34" s="330"/>
      <c r="B34" s="11"/>
      <c r="C34" s="11"/>
      <c r="D34" s="11"/>
      <c r="E34" s="11"/>
      <c r="F34" s="11"/>
      <c r="G34" s="11"/>
      <c r="H34" s="11"/>
      <c r="I34" s="342" t="s">
        <v>21</v>
      </c>
      <c r="J34" s="327"/>
      <c r="K34" s="315">
        <f>SUM(K6:K33)</f>
        <v>17652.43</v>
      </c>
      <c r="L34" s="343"/>
    </row>
    <row r="35" spans="1:12" s="5" customFormat="1" ht="12.75">
      <c r="A35" s="317" t="s">
        <v>22</v>
      </c>
      <c r="B35" s="8" t="s">
        <v>23</v>
      </c>
      <c r="C35" s="8"/>
      <c r="D35" s="8"/>
      <c r="E35" s="8"/>
      <c r="F35" s="8"/>
      <c r="G35" s="8"/>
      <c r="H35" s="8"/>
      <c r="I35" s="8"/>
      <c r="J35" s="8"/>
      <c r="K35" s="3"/>
      <c r="L35" s="344"/>
    </row>
    <row r="36" spans="1:12" ht="12.75">
      <c r="A36" s="330"/>
      <c r="B36" s="11"/>
      <c r="C36" s="11"/>
      <c r="D36" s="11"/>
      <c r="E36" s="11"/>
      <c r="F36" s="11"/>
      <c r="G36" s="11"/>
      <c r="H36" s="11"/>
      <c r="I36" s="11"/>
      <c r="J36" s="11"/>
      <c r="L36" s="329"/>
    </row>
    <row r="37" spans="1:12" s="5" customFormat="1" ht="12.75">
      <c r="A37" s="330" t="s">
        <v>4</v>
      </c>
      <c r="B37" s="8" t="s">
        <v>24</v>
      </c>
      <c r="C37" s="8" t="s">
        <v>25</v>
      </c>
      <c r="D37" s="8"/>
      <c r="E37" s="8"/>
      <c r="F37" s="8"/>
      <c r="G37" s="8"/>
      <c r="H37" s="8"/>
      <c r="I37" s="8"/>
      <c r="J37" s="8"/>
      <c r="K37" s="3"/>
      <c r="L37" s="344"/>
    </row>
    <row r="38" spans="1:12" ht="12.75">
      <c r="A38" s="330"/>
      <c r="B38" s="11"/>
      <c r="C38" s="11" t="s">
        <v>26</v>
      </c>
      <c r="D38" s="11"/>
      <c r="E38" s="11"/>
      <c r="F38" s="11"/>
      <c r="G38" s="11"/>
      <c r="H38" s="11"/>
      <c r="I38" s="345"/>
      <c r="J38" s="11"/>
      <c r="K38" s="3">
        <v>57.45</v>
      </c>
      <c r="L38" s="329"/>
    </row>
    <row r="39" spans="1:12" ht="12.75">
      <c r="A39" s="330"/>
      <c r="B39" s="11"/>
      <c r="C39" s="11"/>
      <c r="D39" s="11"/>
      <c r="E39" s="11"/>
      <c r="F39" s="11"/>
      <c r="G39" s="11"/>
      <c r="H39" s="11"/>
      <c r="I39" s="11"/>
      <c r="J39" s="11"/>
      <c r="L39" s="329"/>
    </row>
    <row r="40" spans="1:12" ht="12.75">
      <c r="A40" s="330"/>
      <c r="B40" s="340"/>
      <c r="C40" s="340"/>
      <c r="D40" s="340"/>
      <c r="E40" s="340"/>
      <c r="F40" s="340"/>
      <c r="G40" s="340"/>
      <c r="H40" s="340"/>
      <c r="I40" s="340"/>
      <c r="J40" s="340"/>
      <c r="K40" s="4"/>
      <c r="L40" s="329"/>
    </row>
    <row r="41" spans="1:12" ht="12.75">
      <c r="A41" s="330"/>
      <c r="B41" s="11"/>
      <c r="C41" s="11"/>
      <c r="D41" s="11"/>
      <c r="E41" s="11"/>
      <c r="F41" s="11"/>
      <c r="G41" s="11"/>
      <c r="H41" s="11"/>
      <c r="I41" s="11"/>
      <c r="J41" s="11"/>
      <c r="L41" s="329"/>
    </row>
    <row r="42" spans="1:12" ht="12.75">
      <c r="A42" s="330"/>
      <c r="B42" s="11"/>
      <c r="C42" s="11" t="s">
        <v>468</v>
      </c>
      <c r="D42" s="11"/>
      <c r="E42" s="11"/>
      <c r="F42" s="11"/>
      <c r="G42" s="11"/>
      <c r="H42" s="11"/>
      <c r="I42" s="345"/>
      <c r="J42" s="336" t="s">
        <v>27</v>
      </c>
      <c r="K42" s="3">
        <f>K34-K38</f>
        <v>17594.98</v>
      </c>
      <c r="L42" s="329"/>
    </row>
    <row r="43" spans="1:12" ht="12.75">
      <c r="A43" s="330"/>
      <c r="B43" s="11"/>
      <c r="C43" s="11" t="s">
        <v>141</v>
      </c>
      <c r="D43" s="346">
        <v>678</v>
      </c>
      <c r="E43" s="11" t="s">
        <v>142</v>
      </c>
      <c r="F43" s="11"/>
      <c r="G43" s="11"/>
      <c r="H43" s="11"/>
      <c r="I43" s="11"/>
      <c r="J43" s="336"/>
      <c r="L43" s="329"/>
    </row>
    <row r="44" spans="1:12" ht="12.75">
      <c r="A44" s="330"/>
      <c r="B44" s="11"/>
      <c r="C44" s="11"/>
      <c r="D44" s="11"/>
      <c r="E44" s="11"/>
      <c r="F44" s="11"/>
      <c r="G44" s="11"/>
      <c r="H44" s="11"/>
      <c r="I44" s="11"/>
      <c r="J44" s="11"/>
      <c r="L44" s="329"/>
    </row>
    <row r="45" spans="1:12" ht="12.75">
      <c r="A45" s="330"/>
      <c r="B45" s="11"/>
      <c r="C45" s="11"/>
      <c r="D45" s="11"/>
      <c r="E45" s="11"/>
      <c r="F45" s="11"/>
      <c r="G45" s="11"/>
      <c r="H45" s="11"/>
      <c r="I45" s="11"/>
      <c r="J45" s="11"/>
      <c r="L45" s="329"/>
    </row>
    <row r="46" spans="1:12" ht="12.75">
      <c r="A46" s="330"/>
      <c r="B46" s="11"/>
      <c r="C46" s="11"/>
      <c r="D46" s="11"/>
      <c r="E46" s="11"/>
      <c r="F46" s="11"/>
      <c r="G46" s="11"/>
      <c r="H46" s="11"/>
      <c r="I46" s="11"/>
      <c r="J46" s="336"/>
      <c r="L46" s="329"/>
    </row>
    <row r="47" spans="1:12" ht="12.75">
      <c r="A47" s="330"/>
      <c r="B47" s="347"/>
      <c r="C47" s="11" t="s">
        <v>15</v>
      </c>
      <c r="D47" s="11" t="s">
        <v>28</v>
      </c>
      <c r="E47" s="11"/>
      <c r="F47" s="11"/>
      <c r="G47" s="8">
        <v>621</v>
      </c>
      <c r="H47" s="11"/>
      <c r="I47" s="11"/>
      <c r="J47" s="336" t="s">
        <v>29</v>
      </c>
      <c r="K47" s="3">
        <f>ROUND(K42*G47/D43,2)</f>
        <v>16115.76</v>
      </c>
      <c r="L47" s="329"/>
    </row>
    <row r="48" spans="1:12" ht="12.75">
      <c r="A48" s="330"/>
      <c r="B48" s="347"/>
      <c r="C48" s="11"/>
      <c r="D48" s="11" t="s">
        <v>30</v>
      </c>
      <c r="E48" s="11"/>
      <c r="F48" s="11"/>
      <c r="G48" s="11"/>
      <c r="H48" s="11"/>
      <c r="I48" s="11"/>
      <c r="J48" s="336" t="s">
        <v>31</v>
      </c>
      <c r="K48" s="9">
        <f>ROUND(K47*0.25,2)</f>
        <v>4028.94</v>
      </c>
      <c r="L48" s="329"/>
    </row>
    <row r="49" spans="1:12" ht="12.75">
      <c r="A49" s="330"/>
      <c r="B49" s="347"/>
      <c r="C49" s="11"/>
      <c r="D49" s="11" t="s">
        <v>32</v>
      </c>
      <c r="E49" s="11"/>
      <c r="F49" s="11"/>
      <c r="G49" s="11"/>
      <c r="H49" s="11"/>
      <c r="I49" s="11"/>
      <c r="J49" s="336" t="s">
        <v>33</v>
      </c>
      <c r="K49" s="3">
        <f>ROUND(K47-K48,2)</f>
        <v>12086.82</v>
      </c>
      <c r="L49" s="329"/>
    </row>
    <row r="50" spans="1:12" ht="12.75">
      <c r="A50" s="330"/>
      <c r="B50" s="347"/>
      <c r="C50" s="11"/>
      <c r="D50" s="11" t="s">
        <v>461</v>
      </c>
      <c r="E50" s="11"/>
      <c r="F50" s="11"/>
      <c r="G50" s="11"/>
      <c r="H50" s="11"/>
      <c r="I50" s="11"/>
      <c r="J50" s="336" t="s">
        <v>34</v>
      </c>
      <c r="K50" s="348">
        <f>K51-K49</f>
        <v>-2.1599999999998545</v>
      </c>
      <c r="L50" s="329"/>
    </row>
    <row r="51" spans="1:12" ht="12.75">
      <c r="A51" s="330"/>
      <c r="B51" s="347"/>
      <c r="C51" s="11"/>
      <c r="D51" s="11" t="s">
        <v>163</v>
      </c>
      <c r="E51" s="11"/>
      <c r="F51" s="11"/>
      <c r="G51" s="11"/>
      <c r="H51" s="11"/>
      <c r="I51" s="11"/>
      <c r="J51" s="336" t="s">
        <v>35</v>
      </c>
      <c r="K51" s="3">
        <f>K65</f>
        <v>12084.66</v>
      </c>
      <c r="L51" s="329"/>
    </row>
    <row r="52" spans="1:12" ht="12.75">
      <c r="A52" s="330"/>
      <c r="B52" s="11"/>
      <c r="C52" s="11"/>
      <c r="D52" s="11"/>
      <c r="E52" s="11"/>
      <c r="F52" s="11"/>
      <c r="G52" s="11"/>
      <c r="H52" s="11"/>
      <c r="I52" s="11"/>
      <c r="J52" s="336"/>
      <c r="L52" s="329"/>
    </row>
    <row r="53" spans="1:12" ht="12.75">
      <c r="A53" s="330"/>
      <c r="B53" s="347"/>
      <c r="C53" s="11"/>
      <c r="D53" s="11" t="s">
        <v>36</v>
      </c>
      <c r="E53" s="11"/>
      <c r="F53" s="11"/>
      <c r="G53" s="8">
        <v>57</v>
      </c>
      <c r="H53" s="11"/>
      <c r="I53" s="11"/>
      <c r="J53" s="336" t="s">
        <v>37</v>
      </c>
      <c r="K53" s="3">
        <f>ROUND(K42*G53/D43,2)</f>
        <v>1479.22</v>
      </c>
      <c r="L53" s="329"/>
    </row>
    <row r="54" spans="1:12" ht="12.75">
      <c r="A54" s="339"/>
      <c r="B54" s="340"/>
      <c r="C54" s="340"/>
      <c r="D54" s="340"/>
      <c r="E54" s="340"/>
      <c r="F54" s="340"/>
      <c r="G54" s="340"/>
      <c r="H54" s="340"/>
      <c r="I54" s="340"/>
      <c r="J54" s="349"/>
      <c r="K54" s="4"/>
      <c r="L54" s="341"/>
    </row>
    <row r="55" spans="1:12" ht="12.75">
      <c r="A55" s="330"/>
      <c r="B55" s="11"/>
      <c r="C55" s="11"/>
      <c r="D55" s="11"/>
      <c r="E55" s="11"/>
      <c r="F55" s="11"/>
      <c r="G55" s="11"/>
      <c r="H55" s="11"/>
      <c r="I55" s="11"/>
      <c r="J55" s="336"/>
      <c r="L55" s="325"/>
    </row>
    <row r="56" spans="1:12" ht="12.75">
      <c r="A56" s="330"/>
      <c r="B56" s="11"/>
      <c r="C56" s="11"/>
      <c r="D56" s="11"/>
      <c r="E56" s="11"/>
      <c r="F56" s="11"/>
      <c r="G56" s="11"/>
      <c r="H56" s="11"/>
      <c r="I56" s="11"/>
      <c r="J56" s="336"/>
      <c r="L56" s="329"/>
    </row>
    <row r="57" spans="1:12" ht="12.75">
      <c r="A57" s="317" t="s">
        <v>38</v>
      </c>
      <c r="B57" s="8" t="s">
        <v>39</v>
      </c>
      <c r="C57" s="11"/>
      <c r="D57" s="11"/>
      <c r="E57" s="11"/>
      <c r="F57" s="11"/>
      <c r="G57" s="11"/>
      <c r="H57" s="11"/>
      <c r="I57" s="11"/>
      <c r="J57" s="336"/>
      <c r="L57" s="329"/>
    </row>
    <row r="58" spans="1:12" ht="12.75">
      <c r="A58" s="330"/>
      <c r="B58" s="11"/>
      <c r="C58" s="11"/>
      <c r="D58" s="11"/>
      <c r="E58" s="11"/>
      <c r="F58" s="11"/>
      <c r="G58" s="11"/>
      <c r="H58" s="11"/>
      <c r="I58" s="11"/>
      <c r="J58" s="336"/>
      <c r="L58" s="329"/>
    </row>
    <row r="59" spans="1:12" ht="12.75">
      <c r="A59" s="330"/>
      <c r="B59" s="8" t="s">
        <v>40</v>
      </c>
      <c r="C59" s="8" t="s">
        <v>41</v>
      </c>
      <c r="D59" s="11"/>
      <c r="E59" s="11"/>
      <c r="F59" s="11"/>
      <c r="G59" s="11"/>
      <c r="H59" s="11"/>
      <c r="I59" s="11"/>
      <c r="J59" s="336"/>
      <c r="L59" s="329"/>
    </row>
    <row r="60" spans="1:12" ht="12.75">
      <c r="A60" s="330"/>
      <c r="B60" s="11"/>
      <c r="C60" s="11"/>
      <c r="D60" s="11"/>
      <c r="E60" s="11"/>
      <c r="F60" s="11"/>
      <c r="G60" s="11"/>
      <c r="H60" s="11"/>
      <c r="I60" s="11"/>
      <c r="J60" s="336"/>
      <c r="L60" s="329"/>
    </row>
    <row r="61" spans="1:12" ht="12.75">
      <c r="A61" s="330"/>
      <c r="B61" s="11"/>
      <c r="C61" s="11"/>
      <c r="D61" s="11"/>
      <c r="E61" s="11"/>
      <c r="F61" s="11"/>
      <c r="G61" s="336" t="s">
        <v>42</v>
      </c>
      <c r="H61" s="11"/>
      <c r="I61" s="336" t="s">
        <v>43</v>
      </c>
      <c r="J61" s="336"/>
      <c r="K61" s="10" t="s">
        <v>44</v>
      </c>
      <c r="L61" s="329"/>
    </row>
    <row r="62" spans="1:12" ht="12.75">
      <c r="A62" s="330"/>
      <c r="B62" s="11"/>
      <c r="C62" s="11"/>
      <c r="D62" s="11"/>
      <c r="E62" s="11"/>
      <c r="F62" s="11"/>
      <c r="G62" s="336" t="s">
        <v>45</v>
      </c>
      <c r="H62" s="11"/>
      <c r="I62" s="336"/>
      <c r="J62" s="336"/>
      <c r="K62" s="10" t="s">
        <v>46</v>
      </c>
      <c r="L62" s="329"/>
    </row>
    <row r="63" spans="1:12" ht="12.75">
      <c r="A63" s="330"/>
      <c r="B63" s="340"/>
      <c r="C63" s="340"/>
      <c r="D63" s="340"/>
      <c r="E63" s="340"/>
      <c r="F63" s="340"/>
      <c r="G63" s="349"/>
      <c r="H63" s="340"/>
      <c r="I63" s="349" t="s">
        <v>140</v>
      </c>
      <c r="J63" s="349"/>
      <c r="K63" s="12" t="s">
        <v>165</v>
      </c>
      <c r="L63" s="329"/>
    </row>
    <row r="64" spans="1:12" ht="12.75">
      <c r="A64" s="330"/>
      <c r="B64" s="11"/>
      <c r="C64" s="11"/>
      <c r="D64" s="11"/>
      <c r="E64" s="11"/>
      <c r="F64" s="11"/>
      <c r="G64" s="11"/>
      <c r="H64" s="11"/>
      <c r="I64" s="11"/>
      <c r="J64" s="336"/>
      <c r="L64" s="329"/>
    </row>
    <row r="65" spans="1:12" ht="12.75">
      <c r="A65" s="350"/>
      <c r="B65" s="327" t="s">
        <v>47</v>
      </c>
      <c r="C65" s="327"/>
      <c r="D65" s="327"/>
      <c r="E65" s="327"/>
      <c r="F65" s="327"/>
      <c r="G65" s="351">
        <f>G47</f>
        <v>621</v>
      </c>
      <c r="H65" s="327"/>
      <c r="I65" s="352">
        <f>ROUND(K49/G65,2)</f>
        <v>19.46</v>
      </c>
      <c r="J65" s="351" t="s">
        <v>48</v>
      </c>
      <c r="K65" s="315">
        <f>ROUND(G65*I65,2)</f>
        <v>12084.66</v>
      </c>
      <c r="L65" s="328"/>
    </row>
    <row r="66" spans="1:12" ht="12.75">
      <c r="A66" s="339"/>
      <c r="B66" s="340"/>
      <c r="C66" s="340"/>
      <c r="D66" s="340"/>
      <c r="E66" s="340"/>
      <c r="F66" s="340"/>
      <c r="G66" s="349"/>
      <c r="H66" s="340"/>
      <c r="I66" s="353"/>
      <c r="J66" s="349"/>
      <c r="K66" s="4"/>
      <c r="L66" s="34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L67" s="11"/>
    </row>
    <row r="68" spans="1:12" ht="12.75">
      <c r="A68" s="354"/>
      <c r="B68" s="323"/>
      <c r="C68" s="323"/>
      <c r="D68" s="323"/>
      <c r="E68" s="323"/>
      <c r="F68" s="323"/>
      <c r="G68" s="323"/>
      <c r="H68" s="355"/>
      <c r="I68" s="323"/>
      <c r="J68" s="323"/>
      <c r="K68" s="319"/>
      <c r="L68" s="325"/>
    </row>
    <row r="69" spans="1:12" ht="12.75">
      <c r="A69" s="326" t="s">
        <v>49</v>
      </c>
      <c r="B69" s="202" t="s">
        <v>50</v>
      </c>
      <c r="C69" s="327"/>
      <c r="D69" s="327"/>
      <c r="E69" s="327"/>
      <c r="F69" s="327"/>
      <c r="G69" s="327"/>
      <c r="H69" s="327"/>
      <c r="I69" s="327"/>
      <c r="J69" s="327"/>
      <c r="K69" s="315"/>
      <c r="L69" s="328"/>
    </row>
    <row r="70" spans="1:12" ht="12.75">
      <c r="A70" s="317"/>
      <c r="B70" s="8"/>
      <c r="C70" s="11"/>
      <c r="D70" s="11"/>
      <c r="E70" s="11"/>
      <c r="F70" s="11"/>
      <c r="G70" s="11"/>
      <c r="H70" s="11"/>
      <c r="I70" s="11"/>
      <c r="J70" s="11"/>
      <c r="L70" s="329"/>
    </row>
    <row r="71" spans="1:12" ht="12.75">
      <c r="A71" s="317" t="s">
        <v>2</v>
      </c>
      <c r="B71" s="8" t="s">
        <v>3</v>
      </c>
      <c r="C71" s="11"/>
      <c r="D71" s="11"/>
      <c r="E71" s="11"/>
      <c r="F71" s="11"/>
      <c r="G71" s="11"/>
      <c r="H71" s="11"/>
      <c r="I71" s="11"/>
      <c r="J71" s="11"/>
      <c r="L71" s="329"/>
    </row>
    <row r="72" spans="1:12" ht="12.75">
      <c r="A72" s="330"/>
      <c r="B72" s="11"/>
      <c r="C72" s="11"/>
      <c r="D72" s="11"/>
      <c r="E72" s="11"/>
      <c r="F72" s="11"/>
      <c r="G72" s="11"/>
      <c r="H72" s="11"/>
      <c r="I72" s="11"/>
      <c r="J72" s="11"/>
      <c r="L72" s="329"/>
    </row>
    <row r="73" spans="1:12" ht="12.75">
      <c r="A73" s="330" t="s">
        <v>4</v>
      </c>
      <c r="B73" s="8" t="s">
        <v>51</v>
      </c>
      <c r="C73" s="8" t="s">
        <v>52</v>
      </c>
      <c r="D73" s="11"/>
      <c r="E73" s="11"/>
      <c r="F73" s="11"/>
      <c r="G73" s="11"/>
      <c r="H73" s="11"/>
      <c r="I73" s="410">
        <v>5000</v>
      </c>
      <c r="J73" s="11"/>
      <c r="L73" s="329"/>
    </row>
    <row r="74" spans="1:12" ht="12.75">
      <c r="A74" s="330"/>
      <c r="B74" s="8" t="s">
        <v>53</v>
      </c>
      <c r="C74" s="8" t="s">
        <v>54</v>
      </c>
      <c r="D74" s="334"/>
      <c r="E74" s="11"/>
      <c r="F74" s="11"/>
      <c r="G74" s="13"/>
      <c r="H74" s="11"/>
      <c r="I74" s="411">
        <v>24000</v>
      </c>
      <c r="J74" s="11"/>
      <c r="L74" s="329"/>
    </row>
    <row r="75" spans="1:12" ht="12.75">
      <c r="A75" s="330"/>
      <c r="B75" s="11"/>
      <c r="C75" s="11"/>
      <c r="D75" s="11"/>
      <c r="E75" s="11"/>
      <c r="F75" s="11"/>
      <c r="G75" s="11"/>
      <c r="H75" s="11"/>
      <c r="I75" s="332">
        <f>SUM(I73:I74)</f>
        <v>29000</v>
      </c>
      <c r="J75" s="11"/>
      <c r="L75" s="329"/>
    </row>
    <row r="76" spans="1:12" ht="12.75">
      <c r="A76" s="330"/>
      <c r="B76" s="11"/>
      <c r="C76" s="11" t="s">
        <v>7</v>
      </c>
      <c r="D76" s="334">
        <v>0.0044</v>
      </c>
      <c r="E76" s="11" t="s">
        <v>16</v>
      </c>
      <c r="F76" s="11"/>
      <c r="G76" s="11"/>
      <c r="H76" s="310" t="s">
        <v>464</v>
      </c>
      <c r="I76" s="11"/>
      <c r="J76" s="11"/>
      <c r="K76" s="3">
        <f>ROUND(I75*D76,2)</f>
        <v>127.6</v>
      </c>
      <c r="L76" s="329"/>
    </row>
    <row r="77" spans="1:12" ht="12.75">
      <c r="A77" s="330"/>
      <c r="B77" s="11"/>
      <c r="C77" s="11"/>
      <c r="D77" s="11"/>
      <c r="E77" s="11"/>
      <c r="F77" s="11"/>
      <c r="G77" s="11"/>
      <c r="H77" s="11"/>
      <c r="I77" s="11"/>
      <c r="J77" s="11"/>
      <c r="L77" s="329"/>
    </row>
    <row r="78" spans="1:12" ht="12.75">
      <c r="A78" s="330" t="s">
        <v>55</v>
      </c>
      <c r="B78" s="8" t="s">
        <v>5</v>
      </c>
      <c r="C78" s="8" t="s">
        <v>6</v>
      </c>
      <c r="D78" s="8"/>
      <c r="E78" s="11"/>
      <c r="F78" s="11"/>
      <c r="G78" s="11"/>
      <c r="H78" s="11"/>
      <c r="I78" s="11"/>
      <c r="J78" s="11"/>
      <c r="L78" s="329"/>
    </row>
    <row r="79" spans="1:12" ht="12.75">
      <c r="A79" s="330"/>
      <c r="B79" s="11"/>
      <c r="C79" s="11"/>
      <c r="D79" s="11"/>
      <c r="E79" s="11"/>
      <c r="F79" s="11"/>
      <c r="G79" s="11"/>
      <c r="H79" s="11"/>
      <c r="I79" s="11"/>
      <c r="J79" s="11"/>
      <c r="L79" s="329"/>
    </row>
    <row r="80" spans="1:12" ht="12.75">
      <c r="A80" s="330" t="s">
        <v>56</v>
      </c>
      <c r="B80" s="11"/>
      <c r="C80" s="7" t="s">
        <v>57</v>
      </c>
      <c r="D80" s="11"/>
      <c r="E80" s="11"/>
      <c r="F80" s="11"/>
      <c r="G80" s="11"/>
      <c r="H80" s="11"/>
      <c r="I80" s="11"/>
      <c r="J80" s="11"/>
      <c r="L80" s="329"/>
    </row>
    <row r="81" spans="1:12" ht="12.75">
      <c r="A81" s="330" t="s">
        <v>149</v>
      </c>
      <c r="B81" s="11"/>
      <c r="C81" s="11" t="s">
        <v>306</v>
      </c>
      <c r="D81" s="11"/>
      <c r="E81" s="11"/>
      <c r="F81" s="11"/>
      <c r="G81" s="11"/>
      <c r="H81" s="11"/>
      <c r="I81" s="11"/>
      <c r="J81" s="11"/>
      <c r="L81" s="329"/>
    </row>
    <row r="82" spans="1:12" ht="12.75">
      <c r="A82" s="330"/>
      <c r="B82" s="11"/>
      <c r="C82" s="11" t="s">
        <v>58</v>
      </c>
      <c r="D82" s="11">
        <v>22</v>
      </c>
      <c r="E82" s="11" t="s">
        <v>59</v>
      </c>
      <c r="F82" s="336" t="s">
        <v>394</v>
      </c>
      <c r="G82" s="332">
        <v>19.48</v>
      </c>
      <c r="H82" s="11" t="s">
        <v>166</v>
      </c>
      <c r="I82" s="11"/>
      <c r="J82" s="11"/>
      <c r="K82" s="3">
        <f>ROUND(G82*D82,2)</f>
        <v>428.56</v>
      </c>
      <c r="L82" s="329"/>
    </row>
    <row r="83" spans="1:12" ht="12.75">
      <c r="A83" s="330"/>
      <c r="B83" s="11"/>
      <c r="C83" s="11" t="s">
        <v>9</v>
      </c>
      <c r="D83" s="334">
        <v>0.1</v>
      </c>
      <c r="E83" s="11" t="s">
        <v>10</v>
      </c>
      <c r="F83" s="11"/>
      <c r="G83" s="13"/>
      <c r="H83" s="336"/>
      <c r="I83" s="11"/>
      <c r="J83" s="11"/>
      <c r="K83" s="3">
        <f>ROUND(K82*D83,2)</f>
        <v>42.86</v>
      </c>
      <c r="L83" s="329"/>
    </row>
    <row r="84" spans="1:12" ht="12.75">
      <c r="A84" s="330"/>
      <c r="B84" s="11"/>
      <c r="C84" s="11"/>
      <c r="D84" s="334">
        <v>0.15</v>
      </c>
      <c r="E84" s="11" t="s">
        <v>11</v>
      </c>
      <c r="F84" s="11"/>
      <c r="G84" s="13"/>
      <c r="H84" s="336"/>
      <c r="I84" s="11"/>
      <c r="J84" s="11"/>
      <c r="K84" s="3">
        <f>ROUND(K82*D84,2)</f>
        <v>64.28</v>
      </c>
      <c r="L84" s="329"/>
    </row>
    <row r="85" spans="1:12" ht="12.75">
      <c r="A85" s="330"/>
      <c r="B85" s="11"/>
      <c r="C85" s="11"/>
      <c r="D85" s="334"/>
      <c r="E85" s="11"/>
      <c r="F85" s="11"/>
      <c r="G85" s="13"/>
      <c r="H85" s="336"/>
      <c r="I85" s="11"/>
      <c r="J85" s="11"/>
      <c r="L85" s="329"/>
    </row>
    <row r="86" spans="1:12" ht="12.75">
      <c r="A86" s="330" t="s">
        <v>60</v>
      </c>
      <c r="B86" s="11"/>
      <c r="C86" s="7" t="s">
        <v>153</v>
      </c>
      <c r="D86" s="11"/>
      <c r="E86" s="11"/>
      <c r="F86" s="11"/>
      <c r="G86" s="11"/>
      <c r="H86" s="336"/>
      <c r="I86" s="11"/>
      <c r="J86" s="11"/>
      <c r="L86" s="329"/>
    </row>
    <row r="87" spans="1:12" ht="12.75">
      <c r="A87" s="330" t="s">
        <v>154</v>
      </c>
      <c r="B87" s="11"/>
      <c r="C87" s="11" t="s">
        <v>61</v>
      </c>
      <c r="D87" s="11"/>
      <c r="E87" s="11"/>
      <c r="F87" s="11"/>
      <c r="G87" s="11"/>
      <c r="H87" s="11"/>
      <c r="I87" s="11"/>
      <c r="J87" s="11"/>
      <c r="L87" s="329"/>
    </row>
    <row r="88" spans="1:12" ht="12.75">
      <c r="A88" s="330"/>
      <c r="B88" s="11"/>
      <c r="C88" s="11" t="s">
        <v>58</v>
      </c>
      <c r="D88" s="333">
        <v>20</v>
      </c>
      <c r="E88" s="11" t="s">
        <v>59</v>
      </c>
      <c r="F88" s="336" t="s">
        <v>394</v>
      </c>
      <c r="G88" s="332">
        <v>20.24</v>
      </c>
      <c r="H88" s="11" t="s">
        <v>166</v>
      </c>
      <c r="I88" s="11"/>
      <c r="J88" s="11"/>
      <c r="K88" s="3">
        <f>ROUND(G88*D88,2)</f>
        <v>404.8</v>
      </c>
      <c r="L88" s="329"/>
    </row>
    <row r="89" spans="1:12" ht="12.75">
      <c r="A89" s="330"/>
      <c r="B89" s="11"/>
      <c r="C89" s="11" t="s">
        <v>9</v>
      </c>
      <c r="D89" s="334">
        <v>0.1</v>
      </c>
      <c r="E89" s="11" t="s">
        <v>10</v>
      </c>
      <c r="F89" s="11"/>
      <c r="G89" s="13"/>
      <c r="H89" s="11"/>
      <c r="I89" s="11"/>
      <c r="J89" s="11"/>
      <c r="K89" s="3">
        <f>ROUND(K88*D89,2)</f>
        <v>40.48</v>
      </c>
      <c r="L89" s="329"/>
    </row>
    <row r="90" spans="1:12" ht="12.75">
      <c r="A90" s="330"/>
      <c r="B90" s="11"/>
      <c r="C90" s="11"/>
      <c r="D90" s="334">
        <v>0.15</v>
      </c>
      <c r="E90" s="11" t="s">
        <v>11</v>
      </c>
      <c r="F90" s="11"/>
      <c r="G90" s="13"/>
      <c r="H90" s="11"/>
      <c r="I90" s="11"/>
      <c r="J90" s="11"/>
      <c r="K90" s="3">
        <f>ROUND(K88*D90,2)</f>
        <v>60.72</v>
      </c>
      <c r="L90" s="329"/>
    </row>
    <row r="91" spans="1:12" ht="12.75">
      <c r="A91" s="330"/>
      <c r="B91" s="11"/>
      <c r="C91" s="11"/>
      <c r="D91" s="11"/>
      <c r="E91" s="11"/>
      <c r="F91" s="11"/>
      <c r="G91" s="11"/>
      <c r="H91" s="11"/>
      <c r="I91" s="11"/>
      <c r="J91" s="11"/>
      <c r="L91" s="329"/>
    </row>
    <row r="92" spans="1:12" ht="12.75">
      <c r="A92" s="330" t="s">
        <v>155</v>
      </c>
      <c r="B92" s="11"/>
      <c r="C92" s="7" t="s">
        <v>12</v>
      </c>
      <c r="D92" s="11"/>
      <c r="E92" s="335" t="s">
        <v>13</v>
      </c>
      <c r="F92" s="11"/>
      <c r="G92" s="335" t="s">
        <v>166</v>
      </c>
      <c r="H92" s="11"/>
      <c r="I92" s="11"/>
      <c r="J92" s="11"/>
      <c r="L92" s="329"/>
    </row>
    <row r="93" spans="1:12" ht="12.75">
      <c r="A93" s="330"/>
      <c r="B93" s="11"/>
      <c r="C93" s="11" t="s">
        <v>84</v>
      </c>
      <c r="D93" s="11" t="s">
        <v>162</v>
      </c>
      <c r="E93" s="412">
        <v>10</v>
      </c>
      <c r="F93" s="11"/>
      <c r="G93" s="409">
        <v>2.2</v>
      </c>
      <c r="H93" s="11"/>
      <c r="I93" s="310"/>
      <c r="J93" s="11"/>
      <c r="K93" s="3">
        <f>ROUND(G93*E93,2)</f>
        <v>22</v>
      </c>
      <c r="L93" s="329"/>
    </row>
    <row r="94" spans="1:12" ht="12.75">
      <c r="A94" s="330"/>
      <c r="B94" s="11"/>
      <c r="C94" s="11" t="s">
        <v>307</v>
      </c>
      <c r="D94" s="11" t="s">
        <v>308</v>
      </c>
      <c r="E94" s="336">
        <v>10</v>
      </c>
      <c r="F94" s="11"/>
      <c r="G94" s="409">
        <v>5.54</v>
      </c>
      <c r="H94" s="11"/>
      <c r="I94" s="310"/>
      <c r="J94" s="11"/>
      <c r="K94" s="3">
        <f>ROUND(G94*E94,2)</f>
        <v>55.4</v>
      </c>
      <c r="L94" s="329"/>
    </row>
    <row r="95" spans="1:12" ht="12.75">
      <c r="A95" s="330"/>
      <c r="B95" s="11"/>
      <c r="C95" s="11"/>
      <c r="D95" s="11"/>
      <c r="E95" s="11"/>
      <c r="F95" s="11"/>
      <c r="G95" s="11"/>
      <c r="H95" s="11"/>
      <c r="I95" s="11"/>
      <c r="J95" s="11"/>
      <c r="L95" s="329"/>
    </row>
    <row r="96" spans="1:12" ht="12.75">
      <c r="A96" s="330" t="s">
        <v>62</v>
      </c>
      <c r="B96" s="11"/>
      <c r="C96" s="11" t="s">
        <v>18</v>
      </c>
      <c r="D96" s="11"/>
      <c r="E96" s="11"/>
      <c r="F96" s="11"/>
      <c r="G96" s="11"/>
      <c r="H96" s="11"/>
      <c r="I96" s="11"/>
      <c r="J96" s="11"/>
      <c r="L96" s="329"/>
    </row>
    <row r="97" spans="1:12" ht="12.75">
      <c r="A97" s="330"/>
      <c r="B97" s="11"/>
      <c r="C97" s="11" t="s">
        <v>19</v>
      </c>
      <c r="D97" s="11"/>
      <c r="E97" s="11"/>
      <c r="F97" s="11"/>
      <c r="G97" s="332">
        <f>G26</f>
        <v>40456</v>
      </c>
      <c r="H97" s="11" t="s">
        <v>324</v>
      </c>
      <c r="I97" s="11"/>
      <c r="J97" s="11"/>
      <c r="L97" s="329"/>
    </row>
    <row r="98" spans="1:12" ht="12.75">
      <c r="A98" s="330"/>
      <c r="B98" s="11"/>
      <c r="C98" s="11" t="s">
        <v>7</v>
      </c>
      <c r="D98" s="334">
        <v>0.002</v>
      </c>
      <c r="E98" s="11" t="s">
        <v>16</v>
      </c>
      <c r="F98" s="11"/>
      <c r="G98" s="11"/>
      <c r="H98" s="11"/>
      <c r="I98" s="11"/>
      <c r="J98" s="11"/>
      <c r="K98" s="3">
        <f>ROUND(G97*D98,2)</f>
        <v>80.91</v>
      </c>
      <c r="L98" s="329"/>
    </row>
    <row r="99" spans="1:12" ht="12.75">
      <c r="A99" s="330"/>
      <c r="B99" s="11"/>
      <c r="C99" s="11" t="s">
        <v>9</v>
      </c>
      <c r="D99" s="334">
        <v>0.1</v>
      </c>
      <c r="E99" s="11" t="s">
        <v>10</v>
      </c>
      <c r="F99" s="11"/>
      <c r="G99" s="13"/>
      <c r="H99" s="11"/>
      <c r="I99" s="11"/>
      <c r="J99" s="11"/>
      <c r="K99" s="3">
        <f>ROUND(K98*D99,2)</f>
        <v>8.09</v>
      </c>
      <c r="L99" s="329"/>
    </row>
    <row r="100" spans="1:12" ht="12.75">
      <c r="A100" s="330"/>
      <c r="B100" s="11"/>
      <c r="C100" s="11"/>
      <c r="D100" s="334">
        <v>0.2</v>
      </c>
      <c r="E100" s="11" t="s">
        <v>11</v>
      </c>
      <c r="F100" s="11"/>
      <c r="G100" s="13"/>
      <c r="H100" s="11"/>
      <c r="I100" s="11"/>
      <c r="J100" s="11"/>
      <c r="K100" s="3">
        <f>ROUND(K98*D100,2)</f>
        <v>16.18</v>
      </c>
      <c r="L100" s="338"/>
    </row>
    <row r="101" spans="1:12" ht="12.75">
      <c r="A101" s="330"/>
      <c r="B101" s="11"/>
      <c r="C101" s="11"/>
      <c r="D101" s="11"/>
      <c r="E101" s="11"/>
      <c r="F101" s="11"/>
      <c r="G101" s="11"/>
      <c r="H101" s="11"/>
      <c r="I101" s="11"/>
      <c r="J101" s="11"/>
      <c r="L101" s="329"/>
    </row>
    <row r="102" spans="1:12" ht="12.75">
      <c r="A102" s="330" t="s">
        <v>63</v>
      </c>
      <c r="B102" s="11"/>
      <c r="C102" s="11" t="s">
        <v>300</v>
      </c>
      <c r="D102" s="11"/>
      <c r="E102" s="11"/>
      <c r="F102" s="11"/>
      <c r="G102" s="11"/>
      <c r="H102" s="11"/>
      <c r="I102" s="310" t="s">
        <v>322</v>
      </c>
      <c r="J102" s="11"/>
      <c r="K102" s="3">
        <v>17.47</v>
      </c>
      <c r="L102" s="329"/>
    </row>
    <row r="103" spans="1:12" ht="12.75">
      <c r="A103" s="330"/>
      <c r="B103" s="11"/>
      <c r="C103" s="15" t="s">
        <v>323</v>
      </c>
      <c r="D103" s="11"/>
      <c r="E103" s="11"/>
      <c r="F103" s="11"/>
      <c r="G103" s="11"/>
      <c r="H103" s="11"/>
      <c r="I103" s="11"/>
      <c r="J103" s="11"/>
      <c r="L103" s="329"/>
    </row>
    <row r="104" spans="1:12" ht="12.75">
      <c r="A104" s="330"/>
      <c r="B104" s="11"/>
      <c r="C104" s="11"/>
      <c r="D104" s="11"/>
      <c r="E104" s="11"/>
      <c r="F104" s="11"/>
      <c r="G104" s="11"/>
      <c r="H104" s="11"/>
      <c r="I104" s="11"/>
      <c r="J104" s="11"/>
      <c r="L104" s="329"/>
    </row>
    <row r="105" spans="1:12" ht="12.75">
      <c r="A105" s="330"/>
      <c r="B105" s="11"/>
      <c r="C105" s="11"/>
      <c r="D105" s="11"/>
      <c r="E105" s="11"/>
      <c r="F105" s="11"/>
      <c r="G105" s="11"/>
      <c r="H105" s="11"/>
      <c r="I105" s="11"/>
      <c r="J105" s="11"/>
      <c r="L105" s="329"/>
    </row>
    <row r="106" spans="1:12" ht="12.75">
      <c r="A106" s="330" t="s">
        <v>64</v>
      </c>
      <c r="B106" s="8" t="s">
        <v>65</v>
      </c>
      <c r="C106" s="8" t="s">
        <v>66</v>
      </c>
      <c r="D106" s="11"/>
      <c r="E106" s="11"/>
      <c r="F106" s="11"/>
      <c r="G106" s="11"/>
      <c r="H106" s="11"/>
      <c r="I106" s="310" t="s">
        <v>420</v>
      </c>
      <c r="J106" s="11"/>
      <c r="K106" s="3">
        <v>38.08</v>
      </c>
      <c r="L106" s="329"/>
    </row>
    <row r="107" spans="1:12" ht="12.75">
      <c r="A107" s="330"/>
      <c r="B107" s="11"/>
      <c r="C107" s="15" t="s">
        <v>67</v>
      </c>
      <c r="D107" s="11"/>
      <c r="E107" s="11"/>
      <c r="F107" s="11"/>
      <c r="G107" s="11"/>
      <c r="H107" s="11"/>
      <c r="I107" s="11"/>
      <c r="J107" s="11"/>
      <c r="L107" s="329"/>
    </row>
    <row r="108" spans="1:12" ht="12.75">
      <c r="A108" s="330"/>
      <c r="B108" s="11"/>
      <c r="C108" s="11"/>
      <c r="D108" s="11"/>
      <c r="E108" s="11"/>
      <c r="F108" s="11"/>
      <c r="G108" s="11"/>
      <c r="H108" s="11"/>
      <c r="I108" s="11"/>
      <c r="J108" s="11"/>
      <c r="L108" s="329"/>
    </row>
    <row r="109" spans="1:12" ht="12.75">
      <c r="A109" s="330" t="s">
        <v>170</v>
      </c>
      <c r="B109" s="8" t="s">
        <v>68</v>
      </c>
      <c r="C109" s="8" t="s">
        <v>69</v>
      </c>
      <c r="D109" s="11"/>
      <c r="E109" s="11"/>
      <c r="F109" s="11"/>
      <c r="G109" s="11"/>
      <c r="H109" s="11"/>
      <c r="I109" s="310" t="s">
        <v>420</v>
      </c>
      <c r="J109" s="11"/>
      <c r="K109" s="3">
        <v>10.28</v>
      </c>
      <c r="L109" s="329"/>
    </row>
    <row r="110" spans="1:12" ht="12.75">
      <c r="A110" s="330"/>
      <c r="B110" s="11"/>
      <c r="C110" s="15" t="s">
        <v>67</v>
      </c>
      <c r="D110" s="11"/>
      <c r="E110" s="11"/>
      <c r="F110" s="11"/>
      <c r="G110" s="11"/>
      <c r="H110" s="11"/>
      <c r="I110" s="11"/>
      <c r="J110" s="11"/>
      <c r="L110" s="329"/>
    </row>
    <row r="111" spans="1:12" ht="12.75">
      <c r="A111" s="339"/>
      <c r="B111" s="340"/>
      <c r="C111" s="11"/>
      <c r="D111" s="11"/>
      <c r="E111" s="11"/>
      <c r="F111" s="11"/>
      <c r="G111" s="11"/>
      <c r="H111" s="11"/>
      <c r="I111" s="11"/>
      <c r="J111" s="11"/>
      <c r="L111" s="341"/>
    </row>
    <row r="112" spans="1:12" ht="12.75">
      <c r="A112" s="330"/>
      <c r="B112" s="11"/>
      <c r="C112" s="323"/>
      <c r="D112" s="323"/>
      <c r="E112" s="323"/>
      <c r="F112" s="323"/>
      <c r="G112" s="323"/>
      <c r="H112" s="323"/>
      <c r="I112" s="356" t="s">
        <v>21</v>
      </c>
      <c r="J112" s="357"/>
      <c r="K112" s="358">
        <f>SUM(K75:K111)</f>
        <v>1417.71</v>
      </c>
      <c r="L112" s="359"/>
    </row>
    <row r="113" spans="1:12" ht="12.75">
      <c r="A113" s="317" t="s">
        <v>22</v>
      </c>
      <c r="B113" s="8" t="s">
        <v>23</v>
      </c>
      <c r="C113" s="8"/>
      <c r="D113" s="8"/>
      <c r="E113" s="8"/>
      <c r="F113" s="8"/>
      <c r="G113" s="8"/>
      <c r="H113" s="8"/>
      <c r="I113" s="8"/>
      <c r="J113" s="8"/>
      <c r="L113" s="329"/>
    </row>
    <row r="114" spans="1:12" ht="12.75">
      <c r="A114" s="330"/>
      <c r="B114" s="11"/>
      <c r="C114" s="11"/>
      <c r="D114" s="11"/>
      <c r="E114" s="11"/>
      <c r="F114" s="11"/>
      <c r="G114" s="11"/>
      <c r="H114" s="11"/>
      <c r="I114" s="11"/>
      <c r="J114" s="11"/>
      <c r="L114" s="329"/>
    </row>
    <row r="115" spans="1:12" s="5" customFormat="1" ht="12.75">
      <c r="A115" s="330" t="s">
        <v>4</v>
      </c>
      <c r="B115" s="8" t="s">
        <v>24</v>
      </c>
      <c r="C115" s="8" t="s">
        <v>25</v>
      </c>
      <c r="D115" s="8"/>
      <c r="E115" s="8"/>
      <c r="F115" s="8"/>
      <c r="G115" s="8"/>
      <c r="H115" s="8"/>
      <c r="I115" s="345"/>
      <c r="J115" s="11"/>
      <c r="K115" s="3"/>
      <c r="L115" s="344"/>
    </row>
    <row r="116" spans="1:12" ht="12.75">
      <c r="A116" s="330"/>
      <c r="B116" s="11"/>
      <c r="C116" s="11" t="s">
        <v>26</v>
      </c>
      <c r="D116" s="11"/>
      <c r="E116" s="11"/>
      <c r="F116" s="11"/>
      <c r="G116" s="11"/>
      <c r="H116" s="11"/>
      <c r="I116" s="11"/>
      <c r="J116" s="11"/>
      <c r="K116" s="3">
        <v>3.8</v>
      </c>
      <c r="L116" s="329"/>
    </row>
    <row r="117" spans="1:12" ht="12.75">
      <c r="A117" s="330"/>
      <c r="B117" s="11"/>
      <c r="C117" s="11"/>
      <c r="D117" s="11"/>
      <c r="E117" s="11"/>
      <c r="F117" s="11"/>
      <c r="G117" s="11"/>
      <c r="H117" s="11"/>
      <c r="I117" s="11"/>
      <c r="J117" s="11"/>
      <c r="L117" s="329"/>
    </row>
    <row r="118" spans="1:12" ht="12.75">
      <c r="A118" s="330"/>
      <c r="B118" s="340"/>
      <c r="C118" s="11"/>
      <c r="D118" s="11"/>
      <c r="E118" s="11"/>
      <c r="F118" s="11"/>
      <c r="G118" s="11"/>
      <c r="H118" s="11"/>
      <c r="I118" s="11"/>
      <c r="J118" s="11"/>
      <c r="L118" s="329"/>
    </row>
    <row r="119" spans="1:12" ht="12.75">
      <c r="A119" s="330"/>
      <c r="B119" s="11"/>
      <c r="C119" s="323"/>
      <c r="D119" s="323"/>
      <c r="E119" s="323"/>
      <c r="F119" s="323"/>
      <c r="G119" s="323"/>
      <c r="H119" s="323"/>
      <c r="I119" s="323"/>
      <c r="J119" s="323"/>
      <c r="K119" s="319"/>
      <c r="L119" s="329"/>
    </row>
    <row r="120" spans="1:12" ht="12.75">
      <c r="A120" s="330"/>
      <c r="B120" s="11"/>
      <c r="C120" s="11" t="s">
        <v>468</v>
      </c>
      <c r="D120" s="11"/>
      <c r="E120" s="11"/>
      <c r="F120" s="11"/>
      <c r="G120" s="11"/>
      <c r="H120" s="11"/>
      <c r="I120" s="345"/>
      <c r="J120" s="336" t="s">
        <v>27</v>
      </c>
      <c r="K120" s="3">
        <f>K112-K116</f>
        <v>1413.91</v>
      </c>
      <c r="L120" s="329"/>
    </row>
    <row r="121" spans="1:12" ht="12.75">
      <c r="A121" s="330"/>
      <c r="B121" s="11"/>
      <c r="C121" s="11" t="s">
        <v>141</v>
      </c>
      <c r="D121" s="346">
        <f>D43</f>
        <v>678</v>
      </c>
      <c r="E121" s="11" t="s">
        <v>142</v>
      </c>
      <c r="F121" s="11"/>
      <c r="G121" s="11"/>
      <c r="H121" s="11"/>
      <c r="I121" s="11"/>
      <c r="J121" s="336"/>
      <c r="L121" s="329"/>
    </row>
    <row r="122" spans="1:12" ht="12.75">
      <c r="A122" s="330"/>
      <c r="B122" s="11"/>
      <c r="C122" s="11"/>
      <c r="D122" s="11"/>
      <c r="E122" s="11"/>
      <c r="F122" s="11"/>
      <c r="G122" s="11"/>
      <c r="H122" s="11"/>
      <c r="I122" s="11"/>
      <c r="J122" s="336"/>
      <c r="L122" s="329"/>
    </row>
    <row r="123" spans="1:12" ht="12.75">
      <c r="A123" s="330"/>
      <c r="B123" s="347"/>
      <c r="C123" s="11" t="s">
        <v>15</v>
      </c>
      <c r="D123" s="11" t="s">
        <v>28</v>
      </c>
      <c r="E123" s="11"/>
      <c r="F123" s="11"/>
      <c r="G123" s="8">
        <f>G47</f>
        <v>621</v>
      </c>
      <c r="H123" s="11"/>
      <c r="I123" s="11"/>
      <c r="J123" s="336" t="s">
        <v>29</v>
      </c>
      <c r="K123" s="3">
        <f>ROUND(K120*G123/D121,2)</f>
        <v>1295.04</v>
      </c>
      <c r="L123" s="329"/>
    </row>
    <row r="124" spans="1:12" ht="12.75">
      <c r="A124" s="330"/>
      <c r="B124" s="347"/>
      <c r="C124" s="11"/>
      <c r="D124" s="11" t="s">
        <v>30</v>
      </c>
      <c r="E124" s="11"/>
      <c r="F124" s="11"/>
      <c r="G124" s="11"/>
      <c r="H124" s="11"/>
      <c r="I124" s="11"/>
      <c r="J124" s="336" t="s">
        <v>31</v>
      </c>
      <c r="K124" s="9">
        <f>ROUND(K123*0.25,2)</f>
        <v>323.76</v>
      </c>
      <c r="L124" s="329"/>
    </row>
    <row r="125" spans="1:12" ht="12.75">
      <c r="A125" s="330"/>
      <c r="B125" s="347"/>
      <c r="C125" s="11"/>
      <c r="D125" s="11" t="s">
        <v>32</v>
      </c>
      <c r="E125" s="11"/>
      <c r="F125" s="11"/>
      <c r="G125" s="11"/>
      <c r="H125" s="11"/>
      <c r="I125" s="11"/>
      <c r="J125" s="336" t="s">
        <v>33</v>
      </c>
      <c r="K125" s="3">
        <f>K123-K124</f>
        <v>971.28</v>
      </c>
      <c r="L125" s="329"/>
    </row>
    <row r="126" spans="1:12" ht="12.75">
      <c r="A126" s="330"/>
      <c r="B126" s="347"/>
      <c r="C126" s="11"/>
      <c r="D126" s="11" t="s">
        <v>461</v>
      </c>
      <c r="E126" s="11"/>
      <c r="F126" s="11"/>
      <c r="G126" s="11"/>
      <c r="H126" s="11"/>
      <c r="I126" s="11"/>
      <c r="J126" s="336" t="s">
        <v>34</v>
      </c>
      <c r="K126" s="14">
        <f>K127-K125</f>
        <v>-2.519999999999982</v>
      </c>
      <c r="L126" s="329"/>
    </row>
    <row r="127" spans="1:12" ht="12.75">
      <c r="A127" s="330"/>
      <c r="B127" s="347"/>
      <c r="C127" s="11"/>
      <c r="D127" s="11" t="s">
        <v>163</v>
      </c>
      <c r="E127" s="11"/>
      <c r="F127" s="11"/>
      <c r="G127" s="11"/>
      <c r="H127" s="11"/>
      <c r="I127" s="11"/>
      <c r="J127" s="336" t="s">
        <v>35</v>
      </c>
      <c r="K127" s="3">
        <f>K140</f>
        <v>968.76</v>
      </c>
      <c r="L127" s="329"/>
    </row>
    <row r="128" spans="1:12" ht="12.75">
      <c r="A128" s="330"/>
      <c r="B128" s="347"/>
      <c r="C128" s="11"/>
      <c r="D128" s="11"/>
      <c r="E128" s="11"/>
      <c r="F128" s="11"/>
      <c r="G128" s="11"/>
      <c r="H128" s="11"/>
      <c r="I128" s="11"/>
      <c r="J128" s="336"/>
      <c r="L128" s="329"/>
    </row>
    <row r="129" spans="1:12" ht="12.75">
      <c r="A129" s="330"/>
      <c r="B129" s="11"/>
      <c r="C129" s="11"/>
      <c r="D129" s="11" t="s">
        <v>36</v>
      </c>
      <c r="E129" s="11"/>
      <c r="F129" s="11"/>
      <c r="G129" s="8">
        <f>G53</f>
        <v>57</v>
      </c>
      <c r="H129" s="11"/>
      <c r="I129" s="11"/>
      <c r="J129" s="336" t="s">
        <v>37</v>
      </c>
      <c r="K129" s="3">
        <f>ROUND(K120*G129/D121,2)</f>
        <v>118.87</v>
      </c>
      <c r="L129" s="329"/>
    </row>
    <row r="130" spans="1:12" ht="12.75">
      <c r="A130" s="339"/>
      <c r="B130" s="340"/>
      <c r="C130" s="340"/>
      <c r="D130" s="340"/>
      <c r="E130" s="340"/>
      <c r="F130" s="340"/>
      <c r="G130" s="340"/>
      <c r="H130" s="340"/>
      <c r="I130" s="340"/>
      <c r="J130" s="349"/>
      <c r="K130" s="4"/>
      <c r="L130" s="341"/>
    </row>
    <row r="131" spans="1:12" ht="12.75">
      <c r="A131" s="330"/>
      <c r="B131" s="11"/>
      <c r="C131" s="11"/>
      <c r="D131" s="11"/>
      <c r="E131" s="11"/>
      <c r="F131" s="11"/>
      <c r="G131" s="11"/>
      <c r="H131" s="11"/>
      <c r="I131" s="11"/>
      <c r="J131" s="336"/>
      <c r="L131" s="325"/>
    </row>
    <row r="132" spans="1:12" ht="12.75">
      <c r="A132" s="317" t="s">
        <v>38</v>
      </c>
      <c r="B132" s="8" t="s">
        <v>39</v>
      </c>
      <c r="C132" s="11"/>
      <c r="D132" s="11"/>
      <c r="E132" s="11"/>
      <c r="F132" s="11"/>
      <c r="G132" s="11"/>
      <c r="H132" s="11"/>
      <c r="I132" s="11"/>
      <c r="J132" s="336"/>
      <c r="K132" s="6"/>
      <c r="L132" s="329"/>
    </row>
    <row r="133" spans="1:12" ht="12.75">
      <c r="A133" s="330"/>
      <c r="B133" s="11"/>
      <c r="C133" s="11"/>
      <c r="D133" s="11"/>
      <c r="E133" s="11"/>
      <c r="F133" s="11"/>
      <c r="G133" s="11"/>
      <c r="H133" s="11"/>
      <c r="I133" s="11"/>
      <c r="J133" s="336"/>
      <c r="L133" s="329"/>
    </row>
    <row r="134" spans="1:12" ht="12.75">
      <c r="A134" s="330"/>
      <c r="B134" s="8" t="s">
        <v>40</v>
      </c>
      <c r="C134" s="8" t="s">
        <v>41</v>
      </c>
      <c r="D134" s="11"/>
      <c r="E134" s="11"/>
      <c r="F134" s="11"/>
      <c r="G134" s="11"/>
      <c r="H134" s="11"/>
      <c r="I134" s="11"/>
      <c r="J134" s="336"/>
      <c r="L134" s="329"/>
    </row>
    <row r="135" spans="1:12" ht="12.75">
      <c r="A135" s="330"/>
      <c r="B135" s="11"/>
      <c r="C135" s="11"/>
      <c r="D135" s="11"/>
      <c r="E135" s="11"/>
      <c r="F135" s="11"/>
      <c r="G135" s="11"/>
      <c r="H135" s="11"/>
      <c r="I135" s="11"/>
      <c r="J135" s="336"/>
      <c r="L135" s="329"/>
    </row>
    <row r="136" spans="1:12" ht="12.75">
      <c r="A136" s="330"/>
      <c r="B136" s="11"/>
      <c r="C136" s="11"/>
      <c r="D136" s="11"/>
      <c r="E136" s="11"/>
      <c r="F136" s="11"/>
      <c r="G136" s="336" t="s">
        <v>42</v>
      </c>
      <c r="H136" s="11"/>
      <c r="I136" s="336" t="s">
        <v>43</v>
      </c>
      <c r="J136" s="336"/>
      <c r="K136" s="10" t="s">
        <v>44</v>
      </c>
      <c r="L136" s="329"/>
    </row>
    <row r="137" spans="1:12" ht="12.75">
      <c r="A137" s="330"/>
      <c r="B137" s="11"/>
      <c r="C137" s="11"/>
      <c r="D137" s="11"/>
      <c r="E137" s="11"/>
      <c r="F137" s="11"/>
      <c r="G137" s="336" t="s">
        <v>45</v>
      </c>
      <c r="H137" s="11"/>
      <c r="I137" s="336"/>
      <c r="J137" s="336"/>
      <c r="K137" s="10" t="s">
        <v>46</v>
      </c>
      <c r="L137" s="329"/>
    </row>
    <row r="138" spans="1:12" ht="12.75">
      <c r="A138" s="330"/>
      <c r="B138" s="340"/>
      <c r="C138" s="340"/>
      <c r="D138" s="340"/>
      <c r="E138" s="340"/>
      <c r="F138" s="340"/>
      <c r="G138" s="349"/>
      <c r="H138" s="340"/>
      <c r="I138" s="349" t="s">
        <v>140</v>
      </c>
      <c r="J138" s="349"/>
      <c r="K138" s="12" t="s">
        <v>165</v>
      </c>
      <c r="L138" s="329"/>
    </row>
    <row r="139" spans="1:12" ht="12.75">
      <c r="A139" s="330"/>
      <c r="B139" s="11"/>
      <c r="C139" s="11"/>
      <c r="D139" s="11"/>
      <c r="E139" s="11"/>
      <c r="F139" s="11"/>
      <c r="G139" s="11"/>
      <c r="H139" s="11"/>
      <c r="I139" s="11"/>
      <c r="J139" s="336"/>
      <c r="L139" s="329"/>
    </row>
    <row r="140" spans="1:12" ht="12" customHeight="1">
      <c r="A140" s="350"/>
      <c r="B140" s="327" t="s">
        <v>47</v>
      </c>
      <c r="C140" s="327"/>
      <c r="D140" s="327"/>
      <c r="E140" s="327"/>
      <c r="F140" s="327"/>
      <c r="G140" s="351">
        <f>G47</f>
        <v>621</v>
      </c>
      <c r="H140" s="327"/>
      <c r="I140" s="352">
        <f>ROUND(K125/G140,2)</f>
        <v>1.56</v>
      </c>
      <c r="J140" s="351" t="s">
        <v>48</v>
      </c>
      <c r="K140" s="315">
        <f>ROUND(G140*I140,2)</f>
        <v>968.76</v>
      </c>
      <c r="L140" s="328"/>
    </row>
    <row r="141" spans="1:12" ht="12.75">
      <c r="A141" s="339"/>
      <c r="B141" s="340"/>
      <c r="C141" s="340"/>
      <c r="D141" s="340"/>
      <c r="E141" s="340"/>
      <c r="F141" s="340"/>
      <c r="G141" s="340"/>
      <c r="H141" s="340"/>
      <c r="I141" s="340"/>
      <c r="J141" s="340"/>
      <c r="K141" s="4"/>
      <c r="L141" s="341"/>
    </row>
    <row r="142" spans="1:12" ht="12.75">
      <c r="A142" s="173"/>
      <c r="B142" s="323"/>
      <c r="C142" s="323"/>
      <c r="D142" s="323"/>
      <c r="E142" s="323"/>
      <c r="F142" s="323"/>
      <c r="G142" s="323"/>
      <c r="H142" s="323"/>
      <c r="I142" s="323"/>
      <c r="J142" s="323"/>
      <c r="K142" s="319"/>
      <c r="L142" s="325"/>
    </row>
    <row r="143" spans="1:12" ht="12.75">
      <c r="A143" s="311" t="s">
        <v>70</v>
      </c>
      <c r="B143" s="202" t="s">
        <v>71</v>
      </c>
      <c r="C143" s="327"/>
      <c r="D143" s="327"/>
      <c r="E143" s="327"/>
      <c r="F143" s="327"/>
      <c r="G143" s="327"/>
      <c r="H143" s="327"/>
      <c r="I143" s="327"/>
      <c r="J143" s="327"/>
      <c r="K143" s="315"/>
      <c r="L143" s="328"/>
    </row>
    <row r="144" spans="1:12" ht="12.75">
      <c r="A144" s="314"/>
      <c r="B144" s="202" t="s">
        <v>72</v>
      </c>
      <c r="C144" s="327"/>
      <c r="D144" s="327"/>
      <c r="E144" s="327"/>
      <c r="F144" s="327"/>
      <c r="G144" s="327"/>
      <c r="H144" s="327"/>
      <c r="I144" s="327"/>
      <c r="J144" s="327"/>
      <c r="K144" s="315"/>
      <c r="L144" s="328"/>
    </row>
    <row r="145" spans="1:12" ht="12.75">
      <c r="A145" s="307"/>
      <c r="B145" s="8"/>
      <c r="C145" s="11"/>
      <c r="D145" s="11"/>
      <c r="E145" s="11"/>
      <c r="F145" s="11"/>
      <c r="G145" s="11"/>
      <c r="H145" s="11"/>
      <c r="I145" s="11"/>
      <c r="J145" s="11"/>
      <c r="L145" s="329"/>
    </row>
    <row r="146" spans="1:12" ht="12.75">
      <c r="A146" s="307" t="s">
        <v>2</v>
      </c>
      <c r="B146" s="8" t="s">
        <v>3</v>
      </c>
      <c r="C146" s="11"/>
      <c r="D146" s="11"/>
      <c r="E146" s="11"/>
      <c r="F146" s="11"/>
      <c r="G146" s="11"/>
      <c r="H146" s="11"/>
      <c r="I146" s="11"/>
      <c r="J146" s="11"/>
      <c r="L146" s="329"/>
    </row>
    <row r="147" spans="1:12" ht="12.75">
      <c r="A147" s="175"/>
      <c r="B147" s="11"/>
      <c r="C147" s="11"/>
      <c r="D147" s="11"/>
      <c r="E147" s="11"/>
      <c r="F147" s="11"/>
      <c r="G147" s="11"/>
      <c r="H147" s="11"/>
      <c r="I147" s="11"/>
      <c r="J147" s="11"/>
      <c r="L147" s="329"/>
    </row>
    <row r="148" spans="1:12" ht="12.75">
      <c r="A148" s="308" t="s">
        <v>4</v>
      </c>
      <c r="B148" s="8" t="s">
        <v>424</v>
      </c>
      <c r="C148" s="8" t="s">
        <v>421</v>
      </c>
      <c r="D148" s="11"/>
      <c r="E148" s="11"/>
      <c r="F148" s="11"/>
      <c r="G148" s="11"/>
      <c r="H148" s="11"/>
      <c r="I148" s="310" t="s">
        <v>393</v>
      </c>
      <c r="J148" s="11"/>
      <c r="K148" s="3">
        <v>109826.99</v>
      </c>
      <c r="L148" s="329"/>
    </row>
    <row r="149" spans="1:12" ht="12.75">
      <c r="A149" s="308"/>
      <c r="B149" s="11"/>
      <c r="C149" s="7"/>
      <c r="D149" s="11"/>
      <c r="E149" s="11"/>
      <c r="F149" s="11"/>
      <c r="G149" s="11"/>
      <c r="H149" s="11"/>
      <c r="I149" s="11"/>
      <c r="J149" s="11"/>
      <c r="L149" s="329"/>
    </row>
    <row r="150" spans="1:12" ht="12.75">
      <c r="A150" s="175" t="s">
        <v>55</v>
      </c>
      <c r="B150" s="8" t="s">
        <v>5</v>
      </c>
      <c r="C150" s="8" t="s">
        <v>6</v>
      </c>
      <c r="D150" s="11"/>
      <c r="E150" s="11"/>
      <c r="F150" s="11"/>
      <c r="G150" s="11"/>
      <c r="H150" s="11"/>
      <c r="I150" s="11"/>
      <c r="J150" s="11"/>
      <c r="L150" s="329"/>
    </row>
    <row r="151" spans="1:12" ht="12.75">
      <c r="A151" s="175"/>
      <c r="B151" s="8"/>
      <c r="C151" s="8"/>
      <c r="D151" s="11"/>
      <c r="E151" s="11"/>
      <c r="F151" s="11"/>
      <c r="G151" s="11"/>
      <c r="H151" s="11"/>
      <c r="I151" s="11"/>
      <c r="J151" s="11"/>
      <c r="L151" s="329"/>
    </row>
    <row r="152" spans="1:12" ht="12.75">
      <c r="A152" s="308" t="s">
        <v>81</v>
      </c>
      <c r="B152" s="11"/>
      <c r="C152" s="7" t="s">
        <v>156</v>
      </c>
      <c r="D152" s="11"/>
      <c r="E152" s="11"/>
      <c r="F152" s="11"/>
      <c r="G152" s="11"/>
      <c r="H152" s="11"/>
      <c r="I152" s="11"/>
      <c r="J152" s="11"/>
      <c r="L152" s="329"/>
    </row>
    <row r="153" spans="1:12" ht="12.75">
      <c r="A153" s="308" t="s">
        <v>149</v>
      </c>
      <c r="B153" s="11"/>
      <c r="C153" s="11" t="s">
        <v>82</v>
      </c>
      <c r="D153" s="11"/>
      <c r="E153" s="11"/>
      <c r="F153" s="11"/>
      <c r="G153" s="11"/>
      <c r="H153" s="11"/>
      <c r="I153" s="11"/>
      <c r="J153" s="11"/>
      <c r="L153" s="329"/>
    </row>
    <row r="154" spans="1:12" ht="12.75">
      <c r="A154" s="175"/>
      <c r="B154" s="11"/>
      <c r="C154" s="11" t="s">
        <v>83</v>
      </c>
      <c r="D154" s="333">
        <v>85</v>
      </c>
      <c r="E154" s="11" t="s">
        <v>8</v>
      </c>
      <c r="F154" s="336" t="s">
        <v>394</v>
      </c>
      <c r="G154" s="332">
        <v>20.24</v>
      </c>
      <c r="H154" s="11" t="s">
        <v>166</v>
      </c>
      <c r="I154" s="11"/>
      <c r="J154" s="11"/>
      <c r="K154" s="3">
        <f>ROUND(G154*D154,2)</f>
        <v>1720.4</v>
      </c>
      <c r="L154" s="329"/>
    </row>
    <row r="155" spans="1:12" ht="12.75">
      <c r="A155" s="175"/>
      <c r="B155" s="11"/>
      <c r="C155" s="11" t="s">
        <v>9</v>
      </c>
      <c r="D155" s="334">
        <v>0.1</v>
      </c>
      <c r="E155" s="11" t="s">
        <v>10</v>
      </c>
      <c r="F155" s="11"/>
      <c r="G155" s="13"/>
      <c r="H155" s="11"/>
      <c r="I155" s="11"/>
      <c r="J155" s="11"/>
      <c r="K155" s="3">
        <f>ROUND(K154*D155,2)</f>
        <v>172.04</v>
      </c>
      <c r="L155" s="329"/>
    </row>
    <row r="156" spans="1:12" ht="12.75">
      <c r="A156" s="175"/>
      <c r="B156" s="11"/>
      <c r="C156" s="11"/>
      <c r="D156" s="334">
        <v>0.15</v>
      </c>
      <c r="E156" s="11" t="s">
        <v>11</v>
      </c>
      <c r="F156" s="11"/>
      <c r="G156" s="13"/>
      <c r="H156" s="11"/>
      <c r="I156" s="11"/>
      <c r="J156" s="11"/>
      <c r="K156" s="3">
        <f>ROUND(K154*D156,2)</f>
        <v>258.06</v>
      </c>
      <c r="L156" s="329"/>
    </row>
    <row r="157" spans="1:12" ht="12.75">
      <c r="A157" s="175"/>
      <c r="B157" s="11"/>
      <c r="C157" s="11"/>
      <c r="D157" s="11"/>
      <c r="E157" s="11"/>
      <c r="F157" s="11"/>
      <c r="G157" s="11"/>
      <c r="H157" s="11"/>
      <c r="I157" s="11"/>
      <c r="J157" s="11"/>
      <c r="L157" s="329"/>
    </row>
    <row r="158" spans="1:12" ht="12.75">
      <c r="A158" s="308" t="s">
        <v>150</v>
      </c>
      <c r="B158" s="11"/>
      <c r="C158" s="7" t="s">
        <v>12</v>
      </c>
      <c r="D158" s="11"/>
      <c r="E158" s="335" t="s">
        <v>13</v>
      </c>
      <c r="F158" s="11"/>
      <c r="G158" s="335" t="s">
        <v>166</v>
      </c>
      <c r="H158" s="11"/>
      <c r="I158" s="11"/>
      <c r="J158" s="11"/>
      <c r="L158" s="329"/>
    </row>
    <row r="159" spans="1:12" ht="12.75">
      <c r="A159" s="175"/>
      <c r="B159" s="11"/>
      <c r="C159" s="11" t="s">
        <v>84</v>
      </c>
      <c r="D159" s="11" t="s">
        <v>425</v>
      </c>
      <c r="E159" s="336">
        <v>60</v>
      </c>
      <c r="F159" s="11"/>
      <c r="G159" s="413">
        <v>1.3</v>
      </c>
      <c r="H159" s="11"/>
      <c r="I159" s="13"/>
      <c r="J159" s="11"/>
      <c r="K159" s="3">
        <f>ROUND(E159*G159,2)</f>
        <v>78</v>
      </c>
      <c r="L159" s="329"/>
    </row>
    <row r="160" spans="1:12" ht="12.75">
      <c r="A160" s="175"/>
      <c r="B160" s="11"/>
      <c r="C160" s="11" t="s">
        <v>167</v>
      </c>
      <c r="D160" s="11" t="s">
        <v>128</v>
      </c>
      <c r="E160" s="336">
        <v>25</v>
      </c>
      <c r="F160" s="11"/>
      <c r="G160" s="413">
        <v>7.94</v>
      </c>
      <c r="H160" s="11"/>
      <c r="I160" s="13"/>
      <c r="J160" s="11"/>
      <c r="K160" s="3">
        <f>ROUND(E160*G160,2)</f>
        <v>198.5</v>
      </c>
      <c r="L160" s="329"/>
    </row>
    <row r="161" spans="1:12" ht="12.75">
      <c r="A161" s="175"/>
      <c r="B161" s="11"/>
      <c r="C161" s="11"/>
      <c r="D161" s="11"/>
      <c r="E161" s="11"/>
      <c r="F161" s="11"/>
      <c r="G161" s="11"/>
      <c r="H161" s="11"/>
      <c r="I161" s="11"/>
      <c r="J161" s="11"/>
      <c r="L161" s="329"/>
    </row>
    <row r="162" spans="1:12" ht="12.75">
      <c r="A162" s="308" t="s">
        <v>151</v>
      </c>
      <c r="B162" s="11"/>
      <c r="C162" s="7" t="s">
        <v>85</v>
      </c>
      <c r="D162" s="11"/>
      <c r="E162" s="11"/>
      <c r="F162" s="11"/>
      <c r="G162" s="11"/>
      <c r="H162" s="11"/>
      <c r="I162" s="11"/>
      <c r="J162" s="11"/>
      <c r="K162" s="6"/>
      <c r="L162" s="329"/>
    </row>
    <row r="163" spans="1:12" ht="12.75">
      <c r="A163" s="175"/>
      <c r="B163" s="11"/>
      <c r="C163" s="11" t="s">
        <v>306</v>
      </c>
      <c r="D163" s="11"/>
      <c r="E163" s="11"/>
      <c r="F163" s="11"/>
      <c r="G163" s="11"/>
      <c r="H163" s="11"/>
      <c r="I163" s="11"/>
      <c r="J163" s="11"/>
      <c r="L163" s="329"/>
    </row>
    <row r="164" spans="1:12" ht="12.75">
      <c r="A164" s="175"/>
      <c r="B164" s="11"/>
      <c r="C164" s="11" t="s">
        <v>311</v>
      </c>
      <c r="D164" s="11"/>
      <c r="E164" s="11"/>
      <c r="F164" s="11"/>
      <c r="G164" s="11"/>
      <c r="H164" s="11"/>
      <c r="I164" s="11"/>
      <c r="J164" s="11"/>
      <c r="L164" s="329"/>
    </row>
    <row r="165" spans="1:12" ht="12.75">
      <c r="A165" s="175"/>
      <c r="B165" s="11"/>
      <c r="C165" s="11" t="s">
        <v>58</v>
      </c>
      <c r="D165" s="333">
        <v>420</v>
      </c>
      <c r="E165" s="11" t="s">
        <v>8</v>
      </c>
      <c r="F165" s="336" t="s">
        <v>394</v>
      </c>
      <c r="G165" s="332">
        <v>19.48</v>
      </c>
      <c r="H165" s="11" t="s">
        <v>166</v>
      </c>
      <c r="I165" s="11"/>
      <c r="J165" s="11"/>
      <c r="K165" s="3">
        <f>ROUND(G165*D165,2)</f>
        <v>8181.6</v>
      </c>
      <c r="L165" s="329"/>
    </row>
    <row r="166" spans="1:12" ht="12.75">
      <c r="A166" s="175"/>
      <c r="B166" s="11"/>
      <c r="C166" s="11" t="s">
        <v>9</v>
      </c>
      <c r="D166" s="334">
        <v>0.1</v>
      </c>
      <c r="E166" s="11" t="s">
        <v>10</v>
      </c>
      <c r="F166" s="11"/>
      <c r="G166" s="13"/>
      <c r="H166" s="11"/>
      <c r="I166" s="11"/>
      <c r="J166" s="11"/>
      <c r="K166" s="3">
        <f>ROUND(K165*D166,2)</f>
        <v>818.16</v>
      </c>
      <c r="L166" s="329"/>
    </row>
    <row r="167" spans="1:12" ht="12.75">
      <c r="A167" s="175"/>
      <c r="B167" s="11"/>
      <c r="C167" s="11"/>
      <c r="D167" s="334">
        <v>0.15</v>
      </c>
      <c r="E167" s="11" t="s">
        <v>11</v>
      </c>
      <c r="F167" s="11"/>
      <c r="G167" s="13"/>
      <c r="H167" s="11"/>
      <c r="I167" s="11"/>
      <c r="J167" s="11"/>
      <c r="K167" s="3">
        <f>ROUND(K165*D167,2)</f>
        <v>1227.24</v>
      </c>
      <c r="L167" s="329"/>
    </row>
    <row r="168" spans="1:12" ht="12.75">
      <c r="A168" s="175"/>
      <c r="B168" s="11"/>
      <c r="C168" s="11"/>
      <c r="D168" s="334"/>
      <c r="E168" s="11"/>
      <c r="F168" s="11"/>
      <c r="G168" s="13"/>
      <c r="H168" s="11"/>
      <c r="I168" s="11"/>
      <c r="J168" s="11"/>
      <c r="L168" s="329"/>
    </row>
    <row r="169" spans="1:12" ht="12.75">
      <c r="A169" s="308" t="s">
        <v>60</v>
      </c>
      <c r="B169" s="11"/>
      <c r="C169" s="11" t="s">
        <v>18</v>
      </c>
      <c r="D169" s="333"/>
      <c r="E169" s="11"/>
      <c r="F169" s="11"/>
      <c r="G169" s="11"/>
      <c r="H169" s="11"/>
      <c r="I169" s="345"/>
      <c r="J169" s="11"/>
      <c r="L169" s="329"/>
    </row>
    <row r="170" spans="1:12" ht="12.75">
      <c r="A170" s="175"/>
      <c r="B170" s="11"/>
      <c r="C170" s="11" t="s">
        <v>312</v>
      </c>
      <c r="D170" s="334"/>
      <c r="E170" s="11"/>
      <c r="F170" s="11"/>
      <c r="G170" s="414">
        <f>G26</f>
        <v>40456</v>
      </c>
      <c r="H170" s="11" t="s">
        <v>324</v>
      </c>
      <c r="I170" s="11"/>
      <c r="J170" s="11"/>
      <c r="L170" s="329"/>
    </row>
    <row r="171" spans="1:12" ht="12.75">
      <c r="A171" s="175"/>
      <c r="B171" s="11"/>
      <c r="C171" s="11" t="s">
        <v>7</v>
      </c>
      <c r="D171" s="334">
        <v>0.3</v>
      </c>
      <c r="E171" s="11" t="s">
        <v>16</v>
      </c>
      <c r="F171" s="11"/>
      <c r="G171" s="13"/>
      <c r="H171" s="11"/>
      <c r="I171" s="11"/>
      <c r="J171" s="11"/>
      <c r="K171" s="3">
        <f>ROUND(G170*D171,2)</f>
        <v>12136.8</v>
      </c>
      <c r="L171" s="329"/>
    </row>
    <row r="172" spans="1:12" ht="12.75">
      <c r="A172" s="175"/>
      <c r="B172" s="11"/>
      <c r="C172" s="11" t="s">
        <v>9</v>
      </c>
      <c r="D172" s="334">
        <v>0.1</v>
      </c>
      <c r="E172" s="11" t="s">
        <v>10</v>
      </c>
      <c r="F172" s="11"/>
      <c r="G172" s="13"/>
      <c r="H172" s="11"/>
      <c r="I172" s="11"/>
      <c r="J172" s="11"/>
      <c r="K172" s="3">
        <f>ROUND(K171*D172,2)</f>
        <v>1213.68</v>
      </c>
      <c r="L172" s="329"/>
    </row>
    <row r="173" spans="1:12" ht="12.75">
      <c r="A173" s="175"/>
      <c r="B173" s="11"/>
      <c r="C173" s="11"/>
      <c r="D173" s="431">
        <v>0.2</v>
      </c>
      <c r="E173" s="11" t="s">
        <v>11</v>
      </c>
      <c r="F173" s="11"/>
      <c r="G173" s="11"/>
      <c r="H173" s="11"/>
      <c r="I173" s="11"/>
      <c r="J173" s="11"/>
      <c r="K173" s="3">
        <f>ROUND(K171*D173,2)</f>
        <v>2427.36</v>
      </c>
      <c r="L173" s="329"/>
    </row>
    <row r="174" spans="1:12" ht="12.75">
      <c r="A174" s="308"/>
      <c r="B174" s="11"/>
      <c r="C174" s="11"/>
      <c r="D174" s="11"/>
      <c r="E174" s="11"/>
      <c r="F174" s="11"/>
      <c r="G174" s="11"/>
      <c r="H174" s="11"/>
      <c r="I174" s="11"/>
      <c r="J174" s="11"/>
      <c r="L174" s="329"/>
    </row>
    <row r="175" spans="1:12" ht="12.75">
      <c r="A175" s="316" t="s">
        <v>62</v>
      </c>
      <c r="B175" s="11"/>
      <c r="C175" s="11" t="s">
        <v>300</v>
      </c>
      <c r="D175" s="11"/>
      <c r="E175" s="11"/>
      <c r="F175" s="11"/>
      <c r="G175" s="11"/>
      <c r="H175" s="11"/>
      <c r="I175" s="310" t="s">
        <v>322</v>
      </c>
      <c r="J175" s="11"/>
      <c r="K175" s="3">
        <v>35468.8</v>
      </c>
      <c r="L175" s="329"/>
    </row>
    <row r="176" spans="1:12" ht="12.75">
      <c r="A176" s="313"/>
      <c r="B176" s="11"/>
      <c r="C176" s="15" t="s">
        <v>323</v>
      </c>
      <c r="D176" s="11"/>
      <c r="E176" s="11"/>
      <c r="F176" s="11"/>
      <c r="G176" s="11"/>
      <c r="H176" s="11"/>
      <c r="I176" s="11"/>
      <c r="J176" s="11"/>
      <c r="L176" s="329"/>
    </row>
    <row r="177" spans="1:12" ht="12.75">
      <c r="A177" s="178"/>
      <c r="B177" s="340"/>
      <c r="C177" s="340"/>
      <c r="D177" s="432"/>
      <c r="E177" s="340"/>
      <c r="F177" s="340"/>
      <c r="G177" s="415"/>
      <c r="H177" s="340"/>
      <c r="I177" s="340"/>
      <c r="J177" s="340"/>
      <c r="K177" s="4"/>
      <c r="L177" s="341"/>
    </row>
    <row r="178" spans="1:12" ht="12.75">
      <c r="A178" s="175"/>
      <c r="B178" s="11"/>
      <c r="C178" s="11"/>
      <c r="D178" s="423"/>
      <c r="E178" s="11"/>
      <c r="F178" s="11"/>
      <c r="G178" s="13"/>
      <c r="H178" s="11"/>
      <c r="I178" s="11"/>
      <c r="J178" s="11"/>
      <c r="L178" s="325"/>
    </row>
    <row r="179" spans="1:12" ht="12.75">
      <c r="A179" s="308"/>
      <c r="B179" s="11"/>
      <c r="C179" s="11"/>
      <c r="D179" s="11"/>
      <c r="E179" s="11"/>
      <c r="F179" s="11"/>
      <c r="G179" s="11"/>
      <c r="H179" s="11"/>
      <c r="I179" s="327" t="s">
        <v>21</v>
      </c>
      <c r="J179" s="327"/>
      <c r="K179" s="315">
        <f>SUM(K146:K177)</f>
        <v>173727.63</v>
      </c>
      <c r="L179" s="328"/>
    </row>
    <row r="180" spans="1:12" ht="12.75">
      <c r="A180" s="317" t="s">
        <v>22</v>
      </c>
      <c r="B180" s="8" t="s">
        <v>23</v>
      </c>
      <c r="C180" s="11"/>
      <c r="D180" s="11"/>
      <c r="E180" s="11"/>
      <c r="F180" s="11"/>
      <c r="G180" s="11"/>
      <c r="H180" s="11"/>
      <c r="I180" s="11"/>
      <c r="J180" s="11"/>
      <c r="L180" s="329"/>
    </row>
    <row r="181" spans="1:12" ht="12.75">
      <c r="A181" s="175"/>
      <c r="B181" s="11"/>
      <c r="C181" s="11"/>
      <c r="D181" s="11"/>
      <c r="E181" s="11"/>
      <c r="F181" s="11"/>
      <c r="G181" s="11"/>
      <c r="H181" s="336"/>
      <c r="I181" s="416"/>
      <c r="J181" s="11"/>
      <c r="L181" s="329"/>
    </row>
    <row r="182" spans="1:12" ht="12.75">
      <c r="A182" s="175" t="s">
        <v>4</v>
      </c>
      <c r="B182" s="11" t="s">
        <v>24</v>
      </c>
      <c r="C182" s="11" t="s">
        <v>25</v>
      </c>
      <c r="D182" s="347"/>
      <c r="E182" s="11"/>
      <c r="F182" s="11"/>
      <c r="G182" s="11"/>
      <c r="H182" s="336"/>
      <c r="I182" s="11"/>
      <c r="J182" s="11"/>
      <c r="L182" s="329"/>
    </row>
    <row r="183" spans="1:12" ht="12.75">
      <c r="A183" s="175"/>
      <c r="B183" s="11"/>
      <c r="C183" s="11" t="s">
        <v>26</v>
      </c>
      <c r="D183" s="334"/>
      <c r="E183" s="11"/>
      <c r="F183" s="11"/>
      <c r="G183" s="11"/>
      <c r="H183" s="11"/>
      <c r="I183" s="11"/>
      <c r="J183" s="11"/>
      <c r="K183" s="3">
        <v>7705.81</v>
      </c>
      <c r="L183" s="329"/>
    </row>
    <row r="184" spans="1:12" ht="12.75">
      <c r="A184" s="178"/>
      <c r="B184" s="340"/>
      <c r="C184" s="340"/>
      <c r="D184" s="433"/>
      <c r="E184" s="340"/>
      <c r="F184" s="340"/>
      <c r="G184" s="415"/>
      <c r="H184" s="349"/>
      <c r="I184" s="340"/>
      <c r="J184" s="340"/>
      <c r="K184" s="4"/>
      <c r="L184" s="341"/>
    </row>
    <row r="185" spans="1:12" ht="12.75">
      <c r="A185" s="175"/>
      <c r="B185" s="11"/>
      <c r="C185" s="11"/>
      <c r="D185" s="334"/>
      <c r="E185" s="11"/>
      <c r="F185" s="11"/>
      <c r="G185" s="13"/>
      <c r="H185" s="336"/>
      <c r="I185" s="11"/>
      <c r="J185" s="11"/>
      <c r="L185" s="325"/>
    </row>
    <row r="186" spans="1:12" ht="12.75">
      <c r="A186" s="318"/>
      <c r="B186" s="327"/>
      <c r="C186" s="327" t="s">
        <v>479</v>
      </c>
      <c r="D186" s="327"/>
      <c r="E186" s="327"/>
      <c r="F186" s="327"/>
      <c r="G186" s="327"/>
      <c r="H186" s="351"/>
      <c r="I186" s="417"/>
      <c r="J186" s="327"/>
      <c r="K186" s="315">
        <f>K179-K183</f>
        <v>166021.82</v>
      </c>
      <c r="L186" s="328"/>
    </row>
    <row r="187" spans="1:12" ht="12.75">
      <c r="A187" s="178"/>
      <c r="B187" s="340"/>
      <c r="C187" s="340"/>
      <c r="D187" s="340"/>
      <c r="E187" s="340"/>
      <c r="F187" s="340"/>
      <c r="G187" s="340"/>
      <c r="H187" s="340"/>
      <c r="I187" s="340"/>
      <c r="J187" s="179"/>
      <c r="K187" s="4"/>
      <c r="L187" s="363"/>
    </row>
    <row r="188" spans="1:12" ht="12.75">
      <c r="A188" s="173"/>
      <c r="B188" s="323"/>
      <c r="C188" s="323"/>
      <c r="D188" s="434"/>
      <c r="E188" s="323"/>
      <c r="F188" s="323"/>
      <c r="G188" s="435"/>
      <c r="H188" s="436"/>
      <c r="I188" s="323"/>
      <c r="J188" s="174"/>
      <c r="K188" s="319"/>
      <c r="L188" s="361"/>
    </row>
    <row r="189" spans="1:12" ht="12.75">
      <c r="A189" s="175"/>
      <c r="B189" s="327"/>
      <c r="C189" s="327" t="s">
        <v>479</v>
      </c>
      <c r="D189" s="327"/>
      <c r="E189" s="327"/>
      <c r="F189" s="327"/>
      <c r="G189" s="327"/>
      <c r="H189" s="351"/>
      <c r="I189" s="417"/>
      <c r="J189" s="203"/>
      <c r="K189" s="315">
        <f>K186</f>
        <v>166021.82</v>
      </c>
      <c r="L189" s="365"/>
    </row>
    <row r="190" spans="1:12" ht="12.75">
      <c r="A190" s="175"/>
      <c r="B190" s="340"/>
      <c r="C190" s="340"/>
      <c r="D190" s="340"/>
      <c r="E190" s="340"/>
      <c r="F190" s="340"/>
      <c r="G190" s="340"/>
      <c r="H190" s="340"/>
      <c r="I190" s="340"/>
      <c r="J190" s="179"/>
      <c r="K190" s="4"/>
      <c r="L190" s="363"/>
    </row>
    <row r="191" spans="1:12" ht="12.75">
      <c r="A191" s="175"/>
      <c r="B191" s="11"/>
      <c r="C191" s="11"/>
      <c r="D191" s="334"/>
      <c r="E191" s="11"/>
      <c r="F191" s="11"/>
      <c r="G191" s="11"/>
      <c r="H191" s="11"/>
      <c r="I191" s="11"/>
      <c r="L191" s="362"/>
    </row>
    <row r="192" spans="1:12" ht="12.75">
      <c r="A192" s="175"/>
      <c r="B192" s="11"/>
      <c r="C192" s="11" t="s">
        <v>88</v>
      </c>
      <c r="D192" s="334"/>
      <c r="E192" s="11"/>
      <c r="F192" s="11"/>
      <c r="G192" s="13"/>
      <c r="H192" s="11"/>
      <c r="I192" s="11"/>
      <c r="L192" s="362"/>
    </row>
    <row r="193" spans="1:12" ht="12.75">
      <c r="A193" s="175"/>
      <c r="B193" s="11"/>
      <c r="C193" s="11"/>
      <c r="D193" s="334"/>
      <c r="E193" s="11"/>
      <c r="F193" s="11"/>
      <c r="G193" s="13"/>
      <c r="H193" s="11"/>
      <c r="I193" s="11"/>
      <c r="L193" s="362"/>
    </row>
    <row r="194" spans="1:12" ht="12.75">
      <c r="A194" s="175"/>
      <c r="B194" s="11"/>
      <c r="C194" s="15" t="s">
        <v>89</v>
      </c>
      <c r="D194" s="418">
        <v>48795</v>
      </c>
      <c r="E194" s="15" t="s">
        <v>143</v>
      </c>
      <c r="F194" s="15">
        <v>2</v>
      </c>
      <c r="G194" s="15" t="s">
        <v>144</v>
      </c>
      <c r="H194" s="15"/>
      <c r="I194" s="15"/>
      <c r="J194" s="15" t="s">
        <v>90</v>
      </c>
      <c r="K194" s="375">
        <f>ROUND(D194*F194,0)</f>
        <v>97590</v>
      </c>
      <c r="L194" s="362"/>
    </row>
    <row r="195" spans="1:12" ht="12.75">
      <c r="A195" s="308"/>
      <c r="B195" s="11"/>
      <c r="C195" s="15" t="s">
        <v>92</v>
      </c>
      <c r="D195" s="418">
        <v>41372</v>
      </c>
      <c r="E195" s="19" t="s">
        <v>143</v>
      </c>
      <c r="F195" s="15">
        <v>1</v>
      </c>
      <c r="G195" s="20" t="s">
        <v>145</v>
      </c>
      <c r="H195" s="15"/>
      <c r="I195" s="15"/>
      <c r="J195" s="15" t="s">
        <v>90</v>
      </c>
      <c r="K195" s="376">
        <f>ROUND(D195*F195,0)</f>
        <v>41372</v>
      </c>
      <c r="L195" s="362"/>
    </row>
    <row r="196" spans="1:12" ht="12.75">
      <c r="A196" s="175"/>
      <c r="B196" s="11"/>
      <c r="C196" s="15"/>
      <c r="D196" s="15"/>
      <c r="E196" s="16"/>
      <c r="F196" s="16"/>
      <c r="G196" s="17"/>
      <c r="H196" s="15"/>
      <c r="I196" s="18" t="s">
        <v>93</v>
      </c>
      <c r="J196" s="15" t="s">
        <v>90</v>
      </c>
      <c r="K196" s="375">
        <f>SUM(K194:K195)</f>
        <v>138962</v>
      </c>
      <c r="L196" s="362"/>
    </row>
    <row r="197" spans="1:12" ht="12.75">
      <c r="A197" s="175"/>
      <c r="B197" s="11"/>
      <c r="C197" s="11"/>
      <c r="D197" s="334"/>
      <c r="E197" s="11"/>
      <c r="F197" s="11"/>
      <c r="G197" s="11"/>
      <c r="H197" s="11"/>
      <c r="I197" s="11"/>
      <c r="K197" s="332"/>
      <c r="L197" s="362"/>
    </row>
    <row r="198" spans="1:12" ht="12.75">
      <c r="A198" s="175"/>
      <c r="B198" s="11"/>
      <c r="C198" s="15" t="s">
        <v>94</v>
      </c>
      <c r="D198" s="15"/>
      <c r="E198" s="15"/>
      <c r="F198" s="11"/>
      <c r="G198" s="366">
        <f>K189</f>
        <v>166021.82</v>
      </c>
      <c r="H198" s="15" t="s">
        <v>140</v>
      </c>
      <c r="I198" s="15"/>
      <c r="K198" s="18"/>
      <c r="L198" s="362"/>
    </row>
    <row r="199" spans="1:12" ht="12.75">
      <c r="A199" s="175"/>
      <c r="B199" s="11"/>
      <c r="C199" s="15"/>
      <c r="D199" s="15"/>
      <c r="E199" s="15"/>
      <c r="F199" s="11"/>
      <c r="G199" s="437">
        <f>K196</f>
        <v>138962</v>
      </c>
      <c r="H199" s="15" t="s">
        <v>91</v>
      </c>
      <c r="I199" s="19" t="s">
        <v>95</v>
      </c>
      <c r="K199" s="374">
        <f>G198/G199</f>
        <v>1.1947281990760064</v>
      </c>
      <c r="L199" s="362"/>
    </row>
    <row r="200" spans="1:12" ht="12.75">
      <c r="A200" s="175"/>
      <c r="B200" s="11"/>
      <c r="C200" s="424" t="s">
        <v>96</v>
      </c>
      <c r="D200" s="15"/>
      <c r="E200" s="438"/>
      <c r="F200" s="11"/>
      <c r="G200" s="15"/>
      <c r="H200" s="15"/>
      <c r="I200" s="15"/>
      <c r="K200" s="367" t="s">
        <v>97</v>
      </c>
      <c r="L200" s="362"/>
    </row>
    <row r="201" spans="1:12" ht="12.75">
      <c r="A201" s="175"/>
      <c r="B201" s="11"/>
      <c r="C201" s="439"/>
      <c r="D201" s="11"/>
      <c r="E201" s="11"/>
      <c r="F201" s="11"/>
      <c r="G201" s="11"/>
      <c r="H201" s="11"/>
      <c r="I201" s="11"/>
      <c r="K201" s="332"/>
      <c r="L201" s="362"/>
    </row>
    <row r="202" spans="1:12" ht="12.75">
      <c r="A202" s="175"/>
      <c r="B202" s="11"/>
      <c r="C202" s="15" t="s">
        <v>7</v>
      </c>
      <c r="D202" s="15" t="s">
        <v>89</v>
      </c>
      <c r="E202" s="440">
        <f>D194</f>
        <v>48795</v>
      </c>
      <c r="F202" s="19" t="s">
        <v>98</v>
      </c>
      <c r="G202" s="441">
        <f>K199</f>
        <v>1.1947281990760064</v>
      </c>
      <c r="H202" s="19" t="s">
        <v>98</v>
      </c>
      <c r="I202" s="19">
        <v>2</v>
      </c>
      <c r="J202" s="218" t="s">
        <v>90</v>
      </c>
      <c r="K202" s="18">
        <f>ROUND(E202*G202*I202,2)</f>
        <v>116593.52</v>
      </c>
      <c r="L202" s="362"/>
    </row>
    <row r="203" spans="1:12" ht="12.75">
      <c r="A203" s="175"/>
      <c r="B203" s="11"/>
      <c r="C203" s="15"/>
      <c r="D203" s="15" t="s">
        <v>92</v>
      </c>
      <c r="E203" s="440">
        <f>D195</f>
        <v>41372</v>
      </c>
      <c r="F203" s="19" t="s">
        <v>99</v>
      </c>
      <c r="G203" s="441">
        <f>K199</f>
        <v>1.1947281990760064</v>
      </c>
      <c r="H203" s="19" t="s">
        <v>98</v>
      </c>
      <c r="I203" s="19">
        <v>1</v>
      </c>
      <c r="J203" s="218" t="s">
        <v>90</v>
      </c>
      <c r="K203" s="366">
        <f>ROUND(E203*G203*I203,2)</f>
        <v>49428.3</v>
      </c>
      <c r="L203" s="362"/>
    </row>
    <row r="204" spans="1:12" ht="12.75">
      <c r="A204" s="175"/>
      <c r="B204" s="11"/>
      <c r="C204" s="15" t="s">
        <v>100</v>
      </c>
      <c r="D204" s="15"/>
      <c r="E204" s="15"/>
      <c r="F204" s="15"/>
      <c r="G204" s="15"/>
      <c r="H204" s="15"/>
      <c r="I204" s="15"/>
      <c r="J204" s="121"/>
      <c r="K204" s="18">
        <f>SUM(K202:K203)</f>
        <v>166021.82</v>
      </c>
      <c r="L204" s="362"/>
    </row>
    <row r="205" spans="1:12" ht="12.75">
      <c r="A205" s="175"/>
      <c r="B205" s="11"/>
      <c r="C205" s="11"/>
      <c r="D205" s="11"/>
      <c r="E205" s="11"/>
      <c r="F205" s="11"/>
      <c r="G205" s="11"/>
      <c r="H205" s="11"/>
      <c r="I205" s="11"/>
      <c r="K205" s="332"/>
      <c r="L205" s="362"/>
    </row>
    <row r="206" spans="1:12" ht="12.75">
      <c r="A206" s="175"/>
      <c r="B206" s="11"/>
      <c r="C206" s="11"/>
      <c r="D206" s="11"/>
      <c r="E206" s="11"/>
      <c r="F206" s="11"/>
      <c r="G206" s="11"/>
      <c r="H206" s="11"/>
      <c r="I206" s="11"/>
      <c r="L206" s="362"/>
    </row>
    <row r="207" spans="1:12" ht="12.75">
      <c r="A207" s="175"/>
      <c r="B207" s="11"/>
      <c r="C207" s="11" t="s">
        <v>101</v>
      </c>
      <c r="D207" s="11"/>
      <c r="E207" s="11"/>
      <c r="F207" s="11"/>
      <c r="G207" s="11"/>
      <c r="H207" s="11"/>
      <c r="I207" s="11"/>
      <c r="K207" s="3">
        <f>K204</f>
        <v>166021.82</v>
      </c>
      <c r="L207" s="362"/>
    </row>
    <row r="208" spans="1:12" ht="12.75">
      <c r="A208" s="175"/>
      <c r="B208" s="11"/>
      <c r="C208" s="11" t="s">
        <v>480</v>
      </c>
      <c r="D208" s="11"/>
      <c r="E208" s="11"/>
      <c r="F208" s="11"/>
      <c r="G208" s="11"/>
      <c r="H208" s="11"/>
      <c r="I208" s="11"/>
      <c r="K208" s="9">
        <f>K186</f>
        <v>166021.82</v>
      </c>
      <c r="L208" s="362"/>
    </row>
    <row r="209" spans="1:12" ht="12.75">
      <c r="A209" s="175"/>
      <c r="B209" s="11"/>
      <c r="C209" s="11" t="s">
        <v>102</v>
      </c>
      <c r="D209" s="11"/>
      <c r="E209" s="11"/>
      <c r="F209" s="11"/>
      <c r="G209" s="11"/>
      <c r="H209" s="11"/>
      <c r="I209" s="11"/>
      <c r="K209" s="3">
        <f>K208-K204</f>
        <v>0</v>
      </c>
      <c r="L209" s="362"/>
    </row>
    <row r="210" spans="1:12" ht="12.75">
      <c r="A210" s="175"/>
      <c r="B210" s="11"/>
      <c r="C210" s="340"/>
      <c r="D210" s="340"/>
      <c r="E210" s="340"/>
      <c r="F210" s="340"/>
      <c r="G210" s="340"/>
      <c r="H210" s="340"/>
      <c r="I210" s="340"/>
      <c r="J210" s="179"/>
      <c r="K210" s="368"/>
      <c r="L210" s="362"/>
    </row>
    <row r="211" spans="1:12" ht="12.75">
      <c r="A211" s="175"/>
      <c r="B211" s="11"/>
      <c r="C211" s="11"/>
      <c r="D211" s="11"/>
      <c r="E211" s="11"/>
      <c r="F211" s="11"/>
      <c r="G211" s="11"/>
      <c r="H211" s="11"/>
      <c r="I211" s="11"/>
      <c r="J211" s="2"/>
      <c r="L211" s="362"/>
    </row>
    <row r="212" spans="1:12" ht="12.75">
      <c r="A212" s="175"/>
      <c r="B212" s="347"/>
      <c r="C212" s="11" t="s">
        <v>473</v>
      </c>
      <c r="D212" s="11"/>
      <c r="E212" s="11"/>
      <c r="F212" s="11"/>
      <c r="G212" s="11"/>
      <c r="H212" s="11"/>
      <c r="I212" s="424"/>
      <c r="J212" s="2" t="s">
        <v>27</v>
      </c>
      <c r="K212" s="3">
        <f>K202</f>
        <v>116593.52</v>
      </c>
      <c r="L212" s="362"/>
    </row>
    <row r="213" spans="1:12" ht="12.75">
      <c r="A213" s="175"/>
      <c r="B213" s="11"/>
      <c r="C213" s="11" t="s">
        <v>103</v>
      </c>
      <c r="D213" s="429">
        <f>E202</f>
        <v>48795</v>
      </c>
      <c r="E213" s="11" t="s">
        <v>104</v>
      </c>
      <c r="F213" s="11"/>
      <c r="G213" s="11"/>
      <c r="H213" s="11"/>
      <c r="I213" s="11"/>
      <c r="J213" s="2"/>
      <c r="L213" s="362"/>
    </row>
    <row r="214" spans="1:12" ht="12.75">
      <c r="A214" s="175"/>
      <c r="B214" s="11"/>
      <c r="C214" s="11"/>
      <c r="D214" s="11"/>
      <c r="E214" s="11"/>
      <c r="F214" s="11"/>
      <c r="G214" s="11"/>
      <c r="H214" s="11"/>
      <c r="I214" s="11"/>
      <c r="J214" s="2"/>
      <c r="L214" s="362"/>
    </row>
    <row r="215" spans="1:12" ht="12.75">
      <c r="A215" s="175"/>
      <c r="B215" s="347"/>
      <c r="C215" s="11" t="s">
        <v>15</v>
      </c>
      <c r="D215" s="11" t="s">
        <v>28</v>
      </c>
      <c r="E215" s="11"/>
      <c r="F215" s="11"/>
      <c r="G215" s="430">
        <v>42920</v>
      </c>
      <c r="H215" s="11"/>
      <c r="I215" s="11"/>
      <c r="J215" s="2" t="s">
        <v>29</v>
      </c>
      <c r="K215" s="3">
        <f>ROUND(K212*G215/D213,2)</f>
        <v>102555.46</v>
      </c>
      <c r="L215" s="362"/>
    </row>
    <row r="216" spans="1:12" ht="12.75">
      <c r="A216" s="175"/>
      <c r="B216" s="347"/>
      <c r="C216" s="11"/>
      <c r="D216" s="11" t="s">
        <v>30</v>
      </c>
      <c r="E216" s="11"/>
      <c r="F216" s="11"/>
      <c r="G216" s="11"/>
      <c r="H216" s="11"/>
      <c r="I216" s="11"/>
      <c r="J216" s="2" t="s">
        <v>31</v>
      </c>
      <c r="K216" s="9">
        <f>ROUND(K215*0.25,2)</f>
        <v>25638.87</v>
      </c>
      <c r="L216" s="362"/>
    </row>
    <row r="217" spans="1:12" ht="12.75">
      <c r="A217" s="175"/>
      <c r="B217" s="347"/>
      <c r="C217" s="11"/>
      <c r="D217" s="11" t="s">
        <v>105</v>
      </c>
      <c r="E217" s="11"/>
      <c r="F217" s="11"/>
      <c r="G217" s="11"/>
      <c r="H217" s="11"/>
      <c r="I217" s="11"/>
      <c r="J217" s="2" t="s">
        <v>33</v>
      </c>
      <c r="K217" s="3">
        <f>K215-K216</f>
        <v>76916.59000000001</v>
      </c>
      <c r="L217" s="362"/>
    </row>
    <row r="218" spans="1:12" ht="12.75">
      <c r="A218" s="175"/>
      <c r="B218" s="347"/>
      <c r="C218" s="11"/>
      <c r="D218" s="11" t="s">
        <v>462</v>
      </c>
      <c r="E218" s="11"/>
      <c r="F218" s="11"/>
      <c r="G218" s="11"/>
      <c r="H218" s="11"/>
      <c r="I218" s="11"/>
      <c r="J218" s="2"/>
      <c r="K218" s="369">
        <f>K242-K217</f>
        <v>-89.79000000000815</v>
      </c>
      <c r="L218" s="362"/>
    </row>
    <row r="219" spans="1:12" ht="12.75">
      <c r="A219" s="175"/>
      <c r="B219" s="11"/>
      <c r="C219" s="11"/>
      <c r="D219" s="11"/>
      <c r="E219" s="11"/>
      <c r="F219" s="11"/>
      <c r="G219" s="11"/>
      <c r="H219" s="11"/>
      <c r="I219" s="11"/>
      <c r="L219" s="362"/>
    </row>
    <row r="220" spans="1:12" ht="12.75">
      <c r="A220" s="175"/>
      <c r="B220" s="347"/>
      <c r="C220" s="11"/>
      <c r="D220" s="11" t="s">
        <v>36</v>
      </c>
      <c r="E220" s="11"/>
      <c r="F220" s="11"/>
      <c r="G220" s="430">
        <f>D213-G215</f>
        <v>5875</v>
      </c>
      <c r="H220" s="11"/>
      <c r="I220" s="11"/>
      <c r="J220" s="2" t="s">
        <v>34</v>
      </c>
      <c r="K220" s="3">
        <f>K212/D213*G220</f>
        <v>14038.055743416335</v>
      </c>
      <c r="L220" s="362"/>
    </row>
    <row r="221" spans="1:12" ht="12.75">
      <c r="A221" s="175"/>
      <c r="B221" s="11"/>
      <c r="C221" s="340"/>
      <c r="D221" s="340"/>
      <c r="E221" s="340"/>
      <c r="F221" s="340"/>
      <c r="G221" s="340"/>
      <c r="H221" s="340"/>
      <c r="I221" s="340"/>
      <c r="J221" s="217"/>
      <c r="K221" s="4"/>
      <c r="L221" s="362"/>
    </row>
    <row r="222" spans="1:12" ht="12.75">
      <c r="A222" s="175"/>
      <c r="B222" s="11"/>
      <c r="C222" s="11"/>
      <c r="D222" s="11"/>
      <c r="E222" s="11"/>
      <c r="F222" s="11"/>
      <c r="G222" s="11"/>
      <c r="H222" s="11"/>
      <c r="I222" s="11"/>
      <c r="J222" s="2"/>
      <c r="L222" s="362"/>
    </row>
    <row r="223" spans="1:12" ht="12.75">
      <c r="A223" s="175"/>
      <c r="B223" s="11"/>
      <c r="C223" s="11" t="s">
        <v>474</v>
      </c>
      <c r="D223" s="11"/>
      <c r="E223" s="11"/>
      <c r="F223" s="11"/>
      <c r="G223" s="11"/>
      <c r="H223" s="11"/>
      <c r="I223" s="345"/>
      <c r="J223" s="2" t="s">
        <v>35</v>
      </c>
      <c r="K223" s="3">
        <f>K203</f>
        <v>49428.3</v>
      </c>
      <c r="L223" s="362"/>
    </row>
    <row r="224" spans="1:12" ht="12.75">
      <c r="A224" s="175"/>
      <c r="B224" s="11"/>
      <c r="C224" s="11" t="s">
        <v>103</v>
      </c>
      <c r="D224" s="429">
        <f>D195</f>
        <v>41372</v>
      </c>
      <c r="E224" s="11" t="s">
        <v>106</v>
      </c>
      <c r="F224" s="11"/>
      <c r="G224" s="11"/>
      <c r="H224" s="11"/>
      <c r="I224" s="11"/>
      <c r="J224" s="2"/>
      <c r="L224" s="362"/>
    </row>
    <row r="225" spans="1:12" ht="12.75">
      <c r="A225" s="175"/>
      <c r="B225" s="11"/>
      <c r="C225" s="11"/>
      <c r="D225" s="11"/>
      <c r="E225" s="11"/>
      <c r="F225" s="11"/>
      <c r="G225" s="11"/>
      <c r="H225" s="11"/>
      <c r="I225" s="11"/>
      <c r="J225" s="2"/>
      <c r="L225" s="362"/>
    </row>
    <row r="226" spans="1:12" ht="12.75">
      <c r="A226" s="175"/>
      <c r="B226" s="11"/>
      <c r="C226" s="11" t="s">
        <v>15</v>
      </c>
      <c r="D226" s="11" t="s">
        <v>28</v>
      </c>
      <c r="E226" s="11"/>
      <c r="F226" s="11"/>
      <c r="G226" s="442">
        <v>34400</v>
      </c>
      <c r="H226" s="11"/>
      <c r="I226" s="11"/>
      <c r="J226" s="2" t="s">
        <v>37</v>
      </c>
      <c r="K226" s="3">
        <f>ROUND(K223/D224*G226,2)</f>
        <v>41098.65</v>
      </c>
      <c r="L226" s="362"/>
    </row>
    <row r="227" spans="1:12" ht="12.75">
      <c r="A227" s="175"/>
      <c r="B227" s="11"/>
      <c r="C227" s="11"/>
      <c r="D227" s="11" t="s">
        <v>30</v>
      </c>
      <c r="E227" s="11"/>
      <c r="F227" s="11"/>
      <c r="G227" s="11"/>
      <c r="H227" s="11"/>
      <c r="I227" s="11"/>
      <c r="J227" s="2" t="s">
        <v>48</v>
      </c>
      <c r="K227" s="9">
        <f>ROUND(K226*0.25,2)</f>
        <v>10274.66</v>
      </c>
      <c r="L227" s="362"/>
    </row>
    <row r="228" spans="1:12" ht="12.75">
      <c r="A228" s="175"/>
      <c r="B228" s="11"/>
      <c r="C228" s="11"/>
      <c r="D228" s="11" t="s">
        <v>107</v>
      </c>
      <c r="E228" s="11"/>
      <c r="F228" s="11"/>
      <c r="G228" s="11"/>
      <c r="H228" s="11"/>
      <c r="I228" s="11"/>
      <c r="J228" s="2" t="s">
        <v>108</v>
      </c>
      <c r="K228" s="3">
        <f>K226-K227</f>
        <v>30823.99</v>
      </c>
      <c r="L228" s="362"/>
    </row>
    <row r="229" spans="1:12" ht="12.75">
      <c r="A229" s="175"/>
      <c r="B229" s="11"/>
      <c r="C229" s="11"/>
      <c r="D229" s="11" t="s">
        <v>463</v>
      </c>
      <c r="E229" s="11"/>
      <c r="F229" s="11"/>
      <c r="G229" s="11"/>
      <c r="H229" s="11"/>
      <c r="I229" s="11"/>
      <c r="J229" s="2"/>
      <c r="K229" s="370">
        <f>K244-K228</f>
        <v>136.0099999999984</v>
      </c>
      <c r="L229" s="362"/>
    </row>
    <row r="230" spans="1:12" ht="12.75">
      <c r="A230" s="175"/>
      <c r="B230" s="11"/>
      <c r="C230" s="11"/>
      <c r="D230" s="11"/>
      <c r="E230" s="11"/>
      <c r="F230" s="11"/>
      <c r="G230" s="11"/>
      <c r="H230" s="11"/>
      <c r="I230" s="11"/>
      <c r="L230" s="362"/>
    </row>
    <row r="231" spans="1:12" ht="12.75">
      <c r="A231" s="175"/>
      <c r="B231" s="11"/>
      <c r="C231" s="11"/>
      <c r="D231" s="11" t="s">
        <v>36</v>
      </c>
      <c r="E231" s="11"/>
      <c r="F231" s="11"/>
      <c r="G231" s="442">
        <f>D224-G226</f>
        <v>6972</v>
      </c>
      <c r="H231" s="11"/>
      <c r="I231" s="11"/>
      <c r="J231" s="2" t="s">
        <v>109</v>
      </c>
      <c r="K231" s="3">
        <f>ROUND(K223*G231/D224,2)</f>
        <v>8329.65</v>
      </c>
      <c r="L231" s="362"/>
    </row>
    <row r="232" spans="1:12" ht="12.75">
      <c r="A232" s="178"/>
      <c r="B232" s="340"/>
      <c r="C232" s="340"/>
      <c r="D232" s="340"/>
      <c r="E232" s="340"/>
      <c r="F232" s="340"/>
      <c r="G232" s="340"/>
      <c r="H232" s="340"/>
      <c r="I232" s="340"/>
      <c r="J232" s="179"/>
      <c r="K232" s="4"/>
      <c r="L232" s="363"/>
    </row>
    <row r="233" spans="1:12" ht="12.75">
      <c r="A233" s="175"/>
      <c r="B233" s="11"/>
      <c r="C233" s="11"/>
      <c r="D233" s="11"/>
      <c r="E233" s="11"/>
      <c r="F233" s="11"/>
      <c r="G233" s="11"/>
      <c r="H233" s="11"/>
      <c r="I233" s="11"/>
      <c r="J233" s="2"/>
      <c r="L233" s="361"/>
    </row>
    <row r="234" spans="1:12" ht="12.75">
      <c r="A234" s="307" t="s">
        <v>38</v>
      </c>
      <c r="B234" s="8" t="s">
        <v>39</v>
      </c>
      <c r="C234" s="11"/>
      <c r="D234" s="11"/>
      <c r="E234" s="11"/>
      <c r="F234" s="11"/>
      <c r="G234" s="11"/>
      <c r="H234" s="11"/>
      <c r="I234" s="11"/>
      <c r="J234" s="2"/>
      <c r="K234" s="6"/>
      <c r="L234" s="362"/>
    </row>
    <row r="235" spans="1:12" ht="12.75">
      <c r="A235" s="175"/>
      <c r="B235" s="11"/>
      <c r="C235" s="11"/>
      <c r="D235" s="11"/>
      <c r="E235" s="11"/>
      <c r="F235" s="11"/>
      <c r="G235" s="11"/>
      <c r="H235" s="11"/>
      <c r="I235" s="11"/>
      <c r="J235" s="2"/>
      <c r="L235" s="362"/>
    </row>
    <row r="236" spans="1:12" ht="12.75">
      <c r="A236" s="175"/>
      <c r="B236" s="8" t="s">
        <v>40</v>
      </c>
      <c r="C236" s="8" t="s">
        <v>41</v>
      </c>
      <c r="D236" s="11"/>
      <c r="E236" s="11"/>
      <c r="F236" s="11"/>
      <c r="G236" s="11"/>
      <c r="H236" s="11"/>
      <c r="I236" s="11"/>
      <c r="J236" s="2"/>
      <c r="L236" s="362"/>
    </row>
    <row r="237" spans="1:12" ht="12.75">
      <c r="A237" s="175"/>
      <c r="B237" s="11"/>
      <c r="C237" s="11"/>
      <c r="D237" s="11"/>
      <c r="E237" s="11"/>
      <c r="F237" s="11"/>
      <c r="G237" s="11"/>
      <c r="H237" s="11"/>
      <c r="I237" s="11"/>
      <c r="J237" s="2"/>
      <c r="L237" s="362"/>
    </row>
    <row r="238" spans="1:12" ht="12.75">
      <c r="A238" s="175"/>
      <c r="B238" s="11"/>
      <c r="C238" s="11"/>
      <c r="D238" s="11"/>
      <c r="E238" s="11"/>
      <c r="F238" s="11"/>
      <c r="G238" s="336" t="s">
        <v>42</v>
      </c>
      <c r="H238" s="11"/>
      <c r="I238" s="336" t="s">
        <v>43</v>
      </c>
      <c r="J238" s="2"/>
      <c r="K238" s="10" t="s">
        <v>44</v>
      </c>
      <c r="L238" s="362"/>
    </row>
    <row r="239" spans="1:12" ht="12.75">
      <c r="A239" s="175"/>
      <c r="B239" s="11"/>
      <c r="C239" s="11"/>
      <c r="D239" s="11"/>
      <c r="E239" s="11"/>
      <c r="F239" s="11"/>
      <c r="G239" s="336" t="s">
        <v>45</v>
      </c>
      <c r="H239" s="11"/>
      <c r="I239" s="336"/>
      <c r="J239" s="2"/>
      <c r="K239" s="10" t="s">
        <v>46</v>
      </c>
      <c r="L239" s="362"/>
    </row>
    <row r="240" spans="1:12" ht="12.75">
      <c r="A240" s="175"/>
      <c r="B240" s="340"/>
      <c r="C240" s="340"/>
      <c r="D240" s="340"/>
      <c r="E240" s="340"/>
      <c r="F240" s="340"/>
      <c r="G240" s="349"/>
      <c r="H240" s="340"/>
      <c r="I240" s="349" t="s">
        <v>140</v>
      </c>
      <c r="J240" s="217"/>
      <c r="K240" s="12" t="s">
        <v>165</v>
      </c>
      <c r="L240" s="362"/>
    </row>
    <row r="241" spans="1:12" ht="12.75">
      <c r="A241" s="175"/>
      <c r="B241" s="11"/>
      <c r="C241" s="11"/>
      <c r="D241" s="11"/>
      <c r="E241" s="11"/>
      <c r="F241" s="11"/>
      <c r="G241" s="11"/>
      <c r="H241" s="11"/>
      <c r="I241" s="11"/>
      <c r="J241" s="2"/>
      <c r="L241" s="362"/>
    </row>
    <row r="242" spans="1:12" ht="12.75">
      <c r="A242" s="175"/>
      <c r="B242" s="327" t="s">
        <v>89</v>
      </c>
      <c r="C242" s="327"/>
      <c r="D242" s="327"/>
      <c r="E242" s="327"/>
      <c r="F242" s="327"/>
      <c r="G242" s="419">
        <f>G215</f>
        <v>42920</v>
      </c>
      <c r="H242" s="327"/>
      <c r="I242" s="352">
        <f>ROUND(K217/G242,2)</f>
        <v>1.79</v>
      </c>
      <c r="J242" s="312" t="s">
        <v>110</v>
      </c>
      <c r="K242" s="315">
        <f>G242*I242</f>
        <v>76826.8</v>
      </c>
      <c r="L242" s="373"/>
    </row>
    <row r="243" spans="1:12" ht="12.75">
      <c r="A243" s="175"/>
      <c r="B243" s="11"/>
      <c r="C243" s="11"/>
      <c r="D243" s="11"/>
      <c r="E243" s="11"/>
      <c r="F243" s="11"/>
      <c r="G243" s="11"/>
      <c r="H243" s="11"/>
      <c r="I243" s="332"/>
      <c r="J243" s="2"/>
      <c r="L243" s="362"/>
    </row>
    <row r="244" spans="1:12" ht="12.75">
      <c r="A244" s="175"/>
      <c r="B244" s="327" t="s">
        <v>92</v>
      </c>
      <c r="C244" s="327"/>
      <c r="D244" s="327"/>
      <c r="E244" s="327"/>
      <c r="F244" s="327"/>
      <c r="G244" s="419">
        <f>G226</f>
        <v>34400</v>
      </c>
      <c r="H244" s="327"/>
      <c r="I244" s="352">
        <f>ROUND(K228/G244,2)</f>
        <v>0.9</v>
      </c>
      <c r="J244" s="312" t="s">
        <v>111</v>
      </c>
      <c r="K244" s="371">
        <f>G244*I244</f>
        <v>30960</v>
      </c>
      <c r="L244" s="373"/>
    </row>
    <row r="245" spans="1:12" ht="12.75">
      <c r="A245" s="175"/>
      <c r="B245" s="11"/>
      <c r="C245" s="11"/>
      <c r="D245" s="11"/>
      <c r="E245" s="11"/>
      <c r="F245" s="11"/>
      <c r="G245" s="11"/>
      <c r="H245" s="11"/>
      <c r="I245" s="11"/>
      <c r="K245" s="3">
        <f>SUM(K242:K244)</f>
        <v>107786.8</v>
      </c>
      <c r="L245" s="362"/>
    </row>
    <row r="246" spans="1:12" ht="12.75">
      <c r="A246" s="178"/>
      <c r="B246" s="340"/>
      <c r="C246" s="340"/>
      <c r="D246" s="340"/>
      <c r="E246" s="340"/>
      <c r="F246" s="340"/>
      <c r="G246" s="340"/>
      <c r="H246" s="340"/>
      <c r="I246" s="340"/>
      <c r="J246" s="179"/>
      <c r="K246" s="372"/>
      <c r="L246" s="363"/>
    </row>
    <row r="247" spans="1:12" ht="12.75">
      <c r="A247" s="173"/>
      <c r="B247" s="323"/>
      <c r="C247" s="323"/>
      <c r="D247" s="323"/>
      <c r="E247" s="323"/>
      <c r="F247" s="323"/>
      <c r="G247" s="323"/>
      <c r="H247" s="323"/>
      <c r="I247" s="323"/>
      <c r="J247" s="174"/>
      <c r="K247" s="319"/>
      <c r="L247" s="361"/>
    </row>
    <row r="248" spans="1:12" ht="12.75">
      <c r="A248" s="311" t="s">
        <v>112</v>
      </c>
      <c r="B248" s="202" t="s">
        <v>113</v>
      </c>
      <c r="C248" s="327"/>
      <c r="D248" s="327"/>
      <c r="E248" s="327"/>
      <c r="F248" s="327"/>
      <c r="G248" s="327"/>
      <c r="H248" s="327"/>
      <c r="I248" s="327"/>
      <c r="J248" s="203"/>
      <c r="K248" s="315"/>
      <c r="L248" s="365"/>
    </row>
    <row r="249" spans="1:12" ht="12.75">
      <c r="A249" s="307"/>
      <c r="B249" s="8"/>
      <c r="C249" s="11"/>
      <c r="D249" s="11"/>
      <c r="E249" s="11"/>
      <c r="F249" s="11"/>
      <c r="G249" s="11"/>
      <c r="H249" s="11"/>
      <c r="I249" s="11"/>
      <c r="L249" s="362"/>
    </row>
    <row r="250" spans="1:12" ht="12.75">
      <c r="A250" s="307" t="s">
        <v>2</v>
      </c>
      <c r="B250" s="8" t="s">
        <v>3</v>
      </c>
      <c r="C250" s="11"/>
      <c r="D250" s="11"/>
      <c r="E250" s="11"/>
      <c r="F250" s="11"/>
      <c r="G250" s="11"/>
      <c r="H250" s="11"/>
      <c r="I250" s="11"/>
      <c r="L250" s="362"/>
    </row>
    <row r="251" spans="1:12" ht="12.75">
      <c r="A251" s="175"/>
      <c r="B251" s="11"/>
      <c r="C251" s="11"/>
      <c r="D251" s="11"/>
      <c r="E251" s="11"/>
      <c r="F251" s="11"/>
      <c r="G251" s="11"/>
      <c r="H251" s="11"/>
      <c r="I251" s="11"/>
      <c r="L251" s="362"/>
    </row>
    <row r="252" spans="1:12" ht="12.75">
      <c r="A252" s="308" t="s">
        <v>4</v>
      </c>
      <c r="B252" s="8" t="s">
        <v>424</v>
      </c>
      <c r="C252" s="8" t="s">
        <v>421</v>
      </c>
      <c r="D252" s="11"/>
      <c r="E252" s="11"/>
      <c r="F252" s="11"/>
      <c r="G252" s="11"/>
      <c r="H252" s="11"/>
      <c r="I252" s="310" t="s">
        <v>393</v>
      </c>
      <c r="K252" s="3">
        <v>1113.1</v>
      </c>
      <c r="L252" s="362"/>
    </row>
    <row r="253" spans="1:12" ht="12.75">
      <c r="A253" s="175"/>
      <c r="B253" s="11"/>
      <c r="C253" s="11"/>
      <c r="D253" s="11"/>
      <c r="E253" s="11"/>
      <c r="F253" s="11"/>
      <c r="G253" s="11"/>
      <c r="H253" s="11"/>
      <c r="I253" s="11"/>
      <c r="L253" s="362"/>
    </row>
    <row r="254" spans="1:12" ht="12.75">
      <c r="A254" s="308" t="s">
        <v>55</v>
      </c>
      <c r="B254" s="8" t="s">
        <v>426</v>
      </c>
      <c r="C254" s="8" t="s">
        <v>427</v>
      </c>
      <c r="D254" s="11"/>
      <c r="E254" s="11"/>
      <c r="F254" s="11"/>
      <c r="G254" s="11"/>
      <c r="H254" s="11"/>
      <c r="I254" s="11"/>
      <c r="K254" s="3">
        <v>4400</v>
      </c>
      <c r="L254" s="362"/>
    </row>
    <row r="255" spans="1:12" ht="12.75">
      <c r="A255" s="308"/>
      <c r="B255" s="11"/>
      <c r="C255" s="443"/>
      <c r="D255" s="11"/>
      <c r="E255" s="414"/>
      <c r="F255" s="11"/>
      <c r="G255" s="11"/>
      <c r="H255" s="11"/>
      <c r="I255" s="414"/>
      <c r="L255" s="362"/>
    </row>
    <row r="256" spans="1:12" ht="12.75">
      <c r="A256" s="308"/>
      <c r="B256" s="11"/>
      <c r="C256" s="11"/>
      <c r="D256" s="11"/>
      <c r="E256" s="11"/>
      <c r="F256" s="11"/>
      <c r="G256" s="11"/>
      <c r="H256" s="11"/>
      <c r="I256" s="11"/>
      <c r="L256" s="362"/>
    </row>
    <row r="257" spans="1:12" ht="12.75">
      <c r="A257" s="308" t="s">
        <v>64</v>
      </c>
      <c r="B257" s="8" t="str">
        <f>B73</f>
        <v>UGr 55100</v>
      </c>
      <c r="C257" s="8" t="str">
        <f>C73</f>
        <v>Wartung und Reparatur Winterdiensttechnik</v>
      </c>
      <c r="D257" s="8"/>
      <c r="E257" s="8"/>
      <c r="F257" s="8"/>
      <c r="G257" s="8"/>
      <c r="H257" s="8"/>
      <c r="I257" s="414">
        <f>I73</f>
        <v>5000</v>
      </c>
      <c r="J257" s="5"/>
      <c r="K257" s="8"/>
      <c r="L257" s="362"/>
    </row>
    <row r="258" spans="1:12" ht="12.75">
      <c r="A258" s="175"/>
      <c r="B258" s="8" t="str">
        <f>B74</f>
        <v>UGr 57000</v>
      </c>
      <c r="C258" s="8" t="str">
        <f>C74</f>
        <v>Verbrauchsmittel (Kies, Salz, Granulat)</v>
      </c>
      <c r="D258" s="8"/>
      <c r="E258" s="8"/>
      <c r="F258" s="8"/>
      <c r="G258" s="8"/>
      <c r="H258" s="8"/>
      <c r="I258" s="444">
        <f>I74</f>
        <v>24000</v>
      </c>
      <c r="L258" s="362"/>
    </row>
    <row r="259" spans="1:12" ht="12.75">
      <c r="A259" s="175"/>
      <c r="B259" s="8"/>
      <c r="C259" s="8"/>
      <c r="D259" s="8"/>
      <c r="E259" s="8"/>
      <c r="F259" s="8"/>
      <c r="G259" s="8"/>
      <c r="H259" s="8"/>
      <c r="I259" s="414">
        <f>I75</f>
        <v>29000</v>
      </c>
      <c r="L259" s="362"/>
    </row>
    <row r="260" spans="1:12" ht="12.75">
      <c r="A260" s="175"/>
      <c r="B260" s="11"/>
      <c r="C260" s="11" t="s">
        <v>7</v>
      </c>
      <c r="D260" s="334">
        <v>0.9956</v>
      </c>
      <c r="E260" s="11" t="s">
        <v>16</v>
      </c>
      <c r="F260" s="11"/>
      <c r="G260" s="11"/>
      <c r="H260" s="310" t="s">
        <v>17</v>
      </c>
      <c r="I260" s="11"/>
      <c r="K260" s="3">
        <f>ROUND(I259*D260,2)</f>
        <v>28872.4</v>
      </c>
      <c r="L260" s="362"/>
    </row>
    <row r="261" spans="1:12" ht="12.75">
      <c r="A261" s="175"/>
      <c r="B261" s="11"/>
      <c r="C261" s="11"/>
      <c r="D261" s="334"/>
      <c r="E261" s="11"/>
      <c r="F261" s="11"/>
      <c r="G261" s="13"/>
      <c r="H261" s="11"/>
      <c r="I261" s="11"/>
      <c r="L261" s="362"/>
    </row>
    <row r="262" spans="1:12" ht="12.75">
      <c r="A262" s="308" t="s">
        <v>170</v>
      </c>
      <c r="B262" s="8" t="s">
        <v>168</v>
      </c>
      <c r="C262" s="8" t="s">
        <v>171</v>
      </c>
      <c r="D262" s="11"/>
      <c r="E262" s="11"/>
      <c r="F262" s="11"/>
      <c r="G262" s="11"/>
      <c r="H262" s="11"/>
      <c r="I262" s="414">
        <v>4300</v>
      </c>
      <c r="J262" s="220"/>
      <c r="K262" s="3">
        <f>I262</f>
        <v>4300</v>
      </c>
      <c r="L262" s="362"/>
    </row>
    <row r="263" spans="1:12" ht="12.75">
      <c r="A263" s="175"/>
      <c r="B263" s="11"/>
      <c r="C263" s="11" t="s">
        <v>169</v>
      </c>
      <c r="D263" s="334"/>
      <c r="E263" s="11"/>
      <c r="F263" s="11"/>
      <c r="G263" s="13"/>
      <c r="H263" s="11"/>
      <c r="I263" s="11"/>
      <c r="L263" s="362"/>
    </row>
    <row r="264" spans="1:12" ht="12.75">
      <c r="A264" s="175"/>
      <c r="B264" s="11"/>
      <c r="C264" s="11"/>
      <c r="D264" s="334"/>
      <c r="E264" s="11"/>
      <c r="F264" s="11"/>
      <c r="G264" s="13"/>
      <c r="H264" s="11"/>
      <c r="I264" s="11"/>
      <c r="L264" s="362"/>
    </row>
    <row r="265" spans="1:12" ht="12.75">
      <c r="A265" s="308" t="s">
        <v>343</v>
      </c>
      <c r="B265" s="8" t="s">
        <v>5</v>
      </c>
      <c r="C265" s="8" t="s">
        <v>6</v>
      </c>
      <c r="D265" s="11"/>
      <c r="E265" s="11"/>
      <c r="F265" s="11"/>
      <c r="G265" s="11"/>
      <c r="H265" s="11"/>
      <c r="I265" s="11"/>
      <c r="L265" s="362"/>
    </row>
    <row r="266" spans="1:12" ht="12.75">
      <c r="A266" s="175"/>
      <c r="B266" s="11"/>
      <c r="C266" s="11"/>
      <c r="D266" s="11"/>
      <c r="E266" s="11"/>
      <c r="F266" s="11"/>
      <c r="G266" s="11"/>
      <c r="H266" s="11"/>
      <c r="I266" s="11"/>
      <c r="L266" s="362"/>
    </row>
    <row r="267" spans="1:12" ht="12.75">
      <c r="A267" s="378" t="s">
        <v>428</v>
      </c>
      <c r="B267" s="11"/>
      <c r="C267" s="7" t="s">
        <v>146</v>
      </c>
      <c r="D267" s="11"/>
      <c r="E267" s="11"/>
      <c r="F267" s="11"/>
      <c r="G267" s="11"/>
      <c r="H267" s="11"/>
      <c r="I267" s="11"/>
      <c r="L267" s="362"/>
    </row>
    <row r="268" spans="1:12" ht="12.75">
      <c r="A268" s="378" t="s">
        <v>429</v>
      </c>
      <c r="B268" s="11"/>
      <c r="C268" s="11" t="s">
        <v>114</v>
      </c>
      <c r="D268" s="11"/>
      <c r="E268" s="11"/>
      <c r="F268" s="11"/>
      <c r="G268" s="11"/>
      <c r="H268" s="11"/>
      <c r="I268" s="11"/>
      <c r="L268" s="362"/>
    </row>
    <row r="269" spans="1:12" ht="12.75">
      <c r="A269" s="175"/>
      <c r="B269" s="11"/>
      <c r="C269" s="11" t="s">
        <v>115</v>
      </c>
      <c r="D269" s="11"/>
      <c r="E269" s="11"/>
      <c r="F269" s="11"/>
      <c r="G269" s="11"/>
      <c r="H269" s="11"/>
      <c r="I269" s="11"/>
      <c r="L269" s="362"/>
    </row>
    <row r="270" spans="1:12" ht="12.75">
      <c r="A270" s="175"/>
      <c r="B270" s="11"/>
      <c r="C270" s="11" t="s">
        <v>116</v>
      </c>
      <c r="D270" s="11"/>
      <c r="E270" s="11"/>
      <c r="F270" s="11"/>
      <c r="G270" s="11"/>
      <c r="H270" s="11"/>
      <c r="I270" s="11"/>
      <c r="L270" s="362"/>
    </row>
    <row r="271" spans="1:12" ht="12.75">
      <c r="A271" s="175"/>
      <c r="B271" s="11"/>
      <c r="C271" s="11" t="s">
        <v>313</v>
      </c>
      <c r="D271" s="11"/>
      <c r="E271" s="11"/>
      <c r="F271" s="11"/>
      <c r="G271" s="11"/>
      <c r="H271" s="336"/>
      <c r="I271" s="332"/>
      <c r="L271" s="362"/>
    </row>
    <row r="272" spans="1:12" ht="12.75">
      <c r="A272" s="175"/>
      <c r="B272" s="11"/>
      <c r="C272" s="11" t="s">
        <v>117</v>
      </c>
      <c r="D272" s="11">
        <v>270</v>
      </c>
      <c r="E272" s="11" t="s">
        <v>59</v>
      </c>
      <c r="F272" s="11" t="s">
        <v>394</v>
      </c>
      <c r="G272" s="11">
        <v>19.22</v>
      </c>
      <c r="H272" s="11" t="s">
        <v>166</v>
      </c>
      <c r="I272" s="11"/>
      <c r="K272" s="3">
        <f>ROUND(D272*G272,2)</f>
        <v>5189.4</v>
      </c>
      <c r="L272" s="362"/>
    </row>
    <row r="273" spans="1:12" ht="12.75">
      <c r="A273" s="175"/>
      <c r="B273" s="11"/>
      <c r="C273" s="11" t="s">
        <v>9</v>
      </c>
      <c r="D273" s="334">
        <v>0.1</v>
      </c>
      <c r="E273" s="11" t="s">
        <v>10</v>
      </c>
      <c r="F273" s="11"/>
      <c r="G273" s="13"/>
      <c r="H273" s="11"/>
      <c r="I273" s="11"/>
      <c r="K273" s="3">
        <f>ROUND(K272*D273,2)</f>
        <v>518.94</v>
      </c>
      <c r="L273" s="362"/>
    </row>
    <row r="274" spans="1:12" ht="12.75">
      <c r="A274" s="175"/>
      <c r="B274" s="11"/>
      <c r="C274" s="11"/>
      <c r="D274" s="334">
        <v>0.15</v>
      </c>
      <c r="E274" s="11" t="s">
        <v>11</v>
      </c>
      <c r="F274" s="11"/>
      <c r="G274" s="13"/>
      <c r="H274" s="11"/>
      <c r="I274" s="11"/>
      <c r="K274" s="3">
        <f>ROUND(K272*D274,2)</f>
        <v>778.41</v>
      </c>
      <c r="L274" s="362"/>
    </row>
    <row r="275" spans="1:12" ht="12.75">
      <c r="A275" s="175"/>
      <c r="B275" s="11"/>
      <c r="C275" s="11"/>
      <c r="D275" s="334"/>
      <c r="E275" s="11"/>
      <c r="F275" s="11"/>
      <c r="G275" s="13"/>
      <c r="H275" s="11"/>
      <c r="I275" s="11"/>
      <c r="L275" s="362"/>
    </row>
    <row r="276" spans="1:12" ht="12.75">
      <c r="A276" s="308" t="s">
        <v>430</v>
      </c>
      <c r="B276" s="11"/>
      <c r="C276" s="7" t="s">
        <v>12</v>
      </c>
      <c r="D276" s="11"/>
      <c r="E276" s="335" t="s">
        <v>13</v>
      </c>
      <c r="F276" s="11"/>
      <c r="G276" s="335" t="s">
        <v>166</v>
      </c>
      <c r="H276" s="11"/>
      <c r="I276" s="11"/>
      <c r="K276" s="6"/>
      <c r="L276" s="362"/>
    </row>
    <row r="277" spans="1:12" ht="12.75">
      <c r="A277" s="175"/>
      <c r="B277" s="11"/>
      <c r="C277" s="11" t="s">
        <v>446</v>
      </c>
      <c r="D277" s="11" t="s">
        <v>127</v>
      </c>
      <c r="E277" s="336">
        <v>135</v>
      </c>
      <c r="F277" s="11"/>
      <c r="G277" s="413">
        <v>3.18</v>
      </c>
      <c r="H277" s="11"/>
      <c r="I277" s="13"/>
      <c r="J277" s="220"/>
      <c r="K277" s="3">
        <f>ROUND(G277*E277,2)</f>
        <v>429.3</v>
      </c>
      <c r="L277" s="362"/>
    </row>
    <row r="278" spans="1:12" ht="12.75">
      <c r="A278" s="175"/>
      <c r="B278" s="11"/>
      <c r="C278" s="11"/>
      <c r="D278" s="11"/>
      <c r="E278" s="11"/>
      <c r="F278" s="11"/>
      <c r="G278" s="11"/>
      <c r="H278" s="11"/>
      <c r="I278" s="11"/>
      <c r="K278" s="8"/>
      <c r="L278" s="362"/>
    </row>
    <row r="279" spans="1:12" ht="12.75">
      <c r="A279" s="308" t="s">
        <v>431</v>
      </c>
      <c r="B279" s="11"/>
      <c r="C279" s="7" t="s">
        <v>157</v>
      </c>
      <c r="D279" s="334"/>
      <c r="E279" s="11"/>
      <c r="F279" s="11"/>
      <c r="G279" s="13"/>
      <c r="H279" s="11"/>
      <c r="I279" s="11"/>
      <c r="L279" s="362"/>
    </row>
    <row r="280" spans="1:12" ht="12.75">
      <c r="A280" s="308" t="s">
        <v>432</v>
      </c>
      <c r="B280" s="11"/>
      <c r="C280" s="11" t="s">
        <v>118</v>
      </c>
      <c r="D280" s="11"/>
      <c r="E280" s="11"/>
      <c r="F280" s="11"/>
      <c r="G280" s="11"/>
      <c r="H280" s="11"/>
      <c r="I280" s="11"/>
      <c r="L280" s="362"/>
    </row>
    <row r="281" spans="1:12" ht="12.75">
      <c r="A281" s="308" t="s">
        <v>433</v>
      </c>
      <c r="B281" s="11"/>
      <c r="C281" s="11" t="s">
        <v>314</v>
      </c>
      <c r="D281" s="11"/>
      <c r="E281" s="11"/>
      <c r="F281" s="11"/>
      <c r="G281" s="11"/>
      <c r="H281" s="336"/>
      <c r="I281" s="11"/>
      <c r="L281" s="362"/>
    </row>
    <row r="282" spans="1:12" ht="12.75">
      <c r="A282" s="175"/>
      <c r="B282" s="11"/>
      <c r="C282" s="11" t="s">
        <v>315</v>
      </c>
      <c r="D282" s="333">
        <v>350</v>
      </c>
      <c r="E282" s="11" t="s">
        <v>59</v>
      </c>
      <c r="F282" s="11" t="s">
        <v>394</v>
      </c>
      <c r="G282" s="332">
        <v>19.92</v>
      </c>
      <c r="H282" s="11" t="s">
        <v>166</v>
      </c>
      <c r="I282" s="11"/>
      <c r="K282" s="3">
        <f>ROUND(G282*D282,2)</f>
        <v>6972</v>
      </c>
      <c r="L282" s="362"/>
    </row>
    <row r="283" spans="1:12" ht="12.75">
      <c r="A283" s="175"/>
      <c r="B283" s="11"/>
      <c r="C283" s="11" t="s">
        <v>9</v>
      </c>
      <c r="D283" s="334">
        <v>0.1</v>
      </c>
      <c r="E283" s="11" t="s">
        <v>10</v>
      </c>
      <c r="F283" s="11"/>
      <c r="G283" s="13"/>
      <c r="H283" s="11"/>
      <c r="I283" s="11"/>
      <c r="K283" s="3">
        <f>ROUND(K282*D283,2)</f>
        <v>697.2</v>
      </c>
      <c r="L283" s="362"/>
    </row>
    <row r="284" spans="1:12" ht="12.75">
      <c r="A284" s="175"/>
      <c r="B284" s="11"/>
      <c r="C284" s="11"/>
      <c r="D284" s="334">
        <v>0.15</v>
      </c>
      <c r="E284" s="11" t="s">
        <v>11</v>
      </c>
      <c r="F284" s="11"/>
      <c r="G284" s="13"/>
      <c r="H284" s="11"/>
      <c r="I284" s="11"/>
      <c r="K284" s="3">
        <f>ROUND(K282*D284,2)</f>
        <v>1045.8</v>
      </c>
      <c r="L284" s="362"/>
    </row>
    <row r="285" spans="1:12" ht="12.75">
      <c r="A285" s="175"/>
      <c r="B285" s="11"/>
      <c r="C285" s="11"/>
      <c r="D285" s="11"/>
      <c r="E285" s="11"/>
      <c r="F285" s="11"/>
      <c r="G285" s="11"/>
      <c r="H285" s="11"/>
      <c r="I285" s="11"/>
      <c r="L285" s="362"/>
    </row>
    <row r="286" spans="1:12" ht="12.75">
      <c r="A286" s="308" t="s">
        <v>434</v>
      </c>
      <c r="B286" s="11"/>
      <c r="C286" s="7" t="s">
        <v>12</v>
      </c>
      <c r="D286" s="11"/>
      <c r="E286" s="335" t="s">
        <v>13</v>
      </c>
      <c r="F286" s="11"/>
      <c r="G286" s="335" t="s">
        <v>166</v>
      </c>
      <c r="H286" s="11"/>
      <c r="I286" s="11"/>
      <c r="L286" s="362"/>
    </row>
    <row r="287" spans="1:12" ht="12.75">
      <c r="A287" s="175"/>
      <c r="B287" s="11"/>
      <c r="C287" s="11" t="s">
        <v>447</v>
      </c>
      <c r="D287" s="11" t="s">
        <v>316</v>
      </c>
      <c r="E287" s="336">
        <v>165</v>
      </c>
      <c r="F287" s="11"/>
      <c r="G287" s="413">
        <v>14.24</v>
      </c>
      <c r="H287" s="336"/>
      <c r="I287" s="13"/>
      <c r="J287" s="220"/>
      <c r="K287" s="3">
        <f>ROUND(E287*G287,2)</f>
        <v>2349.6</v>
      </c>
      <c r="L287" s="379"/>
    </row>
    <row r="288" spans="1:12" ht="12.75">
      <c r="A288" s="175"/>
      <c r="B288" s="11"/>
      <c r="C288" s="11" t="s">
        <v>448</v>
      </c>
      <c r="D288" s="11" t="s">
        <v>125</v>
      </c>
      <c r="E288" s="336">
        <v>165</v>
      </c>
      <c r="F288" s="11"/>
      <c r="G288" s="413">
        <v>10.58</v>
      </c>
      <c r="H288" s="11"/>
      <c r="I288" s="13"/>
      <c r="J288" s="220"/>
      <c r="K288" s="3">
        <f>ROUND(E288*G288,2)</f>
        <v>1745.7</v>
      </c>
      <c r="L288" s="362"/>
    </row>
    <row r="289" spans="1:12" ht="12.75">
      <c r="A289" s="175"/>
      <c r="B289" s="11"/>
      <c r="C289" s="11"/>
      <c r="D289" s="11"/>
      <c r="E289" s="336"/>
      <c r="F289" s="11"/>
      <c r="G289" s="413"/>
      <c r="H289" s="11"/>
      <c r="I289" s="13"/>
      <c r="L289" s="362"/>
    </row>
    <row r="290" spans="1:12" ht="12.75">
      <c r="A290" s="175"/>
      <c r="B290" s="11"/>
      <c r="C290" s="7" t="s">
        <v>158</v>
      </c>
      <c r="D290" s="11"/>
      <c r="E290" s="11"/>
      <c r="F290" s="11"/>
      <c r="G290" s="11"/>
      <c r="H290" s="11"/>
      <c r="I290" s="11"/>
      <c r="L290" s="362"/>
    </row>
    <row r="291" spans="1:12" ht="12.75">
      <c r="A291" s="308" t="s">
        <v>435</v>
      </c>
      <c r="B291" s="11"/>
      <c r="C291" s="11" t="s">
        <v>317</v>
      </c>
      <c r="D291" s="11"/>
      <c r="E291" s="11"/>
      <c r="F291" s="11"/>
      <c r="G291" s="11"/>
      <c r="H291" s="336"/>
      <c r="I291" s="11"/>
      <c r="L291" s="362"/>
    </row>
    <row r="292" spans="1:12" ht="12.75">
      <c r="A292" s="175"/>
      <c r="B292" s="11"/>
      <c r="C292" s="11" t="s">
        <v>318</v>
      </c>
      <c r="D292" s="333">
        <v>852</v>
      </c>
      <c r="E292" s="11" t="s">
        <v>59</v>
      </c>
      <c r="F292" s="11" t="s">
        <v>394</v>
      </c>
      <c r="G292" s="332">
        <v>20.24</v>
      </c>
      <c r="H292" s="11" t="s">
        <v>166</v>
      </c>
      <c r="I292" s="11"/>
      <c r="K292" s="3">
        <f>ROUND(G292*D292,2)</f>
        <v>17244.48</v>
      </c>
      <c r="L292" s="362"/>
    </row>
    <row r="293" spans="1:12" ht="12.75">
      <c r="A293" s="175"/>
      <c r="B293" s="11"/>
      <c r="C293" s="11" t="s">
        <v>9</v>
      </c>
      <c r="D293" s="334">
        <v>0.1</v>
      </c>
      <c r="E293" s="11" t="s">
        <v>10</v>
      </c>
      <c r="F293" s="11"/>
      <c r="G293" s="13"/>
      <c r="H293" s="11"/>
      <c r="I293" s="11"/>
      <c r="K293" s="3">
        <f>ROUND(K292*D293,2)</f>
        <v>1724.45</v>
      </c>
      <c r="L293" s="362"/>
    </row>
    <row r="294" spans="1:12" ht="12.75">
      <c r="A294" s="175"/>
      <c r="B294" s="11"/>
      <c r="C294" s="11"/>
      <c r="D294" s="334">
        <v>0.15</v>
      </c>
      <c r="E294" s="11" t="s">
        <v>11</v>
      </c>
      <c r="F294" s="11"/>
      <c r="G294" s="13"/>
      <c r="H294" s="11"/>
      <c r="I294" s="11"/>
      <c r="K294" s="3">
        <f>ROUND(K292*D294,2)</f>
        <v>2586.67</v>
      </c>
      <c r="L294" s="362"/>
    </row>
    <row r="295" spans="1:12" ht="12.75">
      <c r="A295" s="175"/>
      <c r="B295" s="11"/>
      <c r="C295" s="11"/>
      <c r="D295" s="334"/>
      <c r="E295" s="11"/>
      <c r="F295" s="11"/>
      <c r="G295" s="13"/>
      <c r="H295" s="11"/>
      <c r="I295" s="11"/>
      <c r="L295" s="362"/>
    </row>
    <row r="296" spans="1:12" ht="12.75">
      <c r="A296" s="308" t="s">
        <v>436</v>
      </c>
      <c r="B296" s="11"/>
      <c r="C296" s="7" t="s">
        <v>12</v>
      </c>
      <c r="D296" s="11"/>
      <c r="E296" s="335" t="s">
        <v>13</v>
      </c>
      <c r="F296" s="11"/>
      <c r="G296" s="335" t="s">
        <v>166</v>
      </c>
      <c r="H296" s="11"/>
      <c r="I296" s="11"/>
      <c r="L296" s="362"/>
    </row>
    <row r="297" spans="1:12" ht="12.75">
      <c r="A297" s="175"/>
      <c r="B297" s="11"/>
      <c r="C297" s="11" t="s">
        <v>446</v>
      </c>
      <c r="D297" s="11" t="s">
        <v>126</v>
      </c>
      <c r="E297" s="336">
        <v>105</v>
      </c>
      <c r="F297" s="11"/>
      <c r="G297" s="413">
        <v>2.55</v>
      </c>
      <c r="H297" s="11"/>
      <c r="I297" s="13"/>
      <c r="J297" s="220"/>
      <c r="K297" s="3">
        <f>ROUND(G297*E297,2)</f>
        <v>267.75</v>
      </c>
      <c r="L297" s="362"/>
    </row>
    <row r="298" spans="1:12" ht="12.75">
      <c r="A298" s="175"/>
      <c r="B298" s="11"/>
      <c r="C298" s="11" t="s">
        <v>446</v>
      </c>
      <c r="D298" s="11" t="s">
        <v>308</v>
      </c>
      <c r="E298" s="336">
        <v>100</v>
      </c>
      <c r="F298" s="11"/>
      <c r="G298" s="413">
        <v>5.54</v>
      </c>
      <c r="H298" s="11"/>
      <c r="I298" s="13"/>
      <c r="J298" s="220"/>
      <c r="K298" s="3">
        <f aca="true" t="shared" si="0" ref="K298:K305">ROUND(G298*E298,2)</f>
        <v>554</v>
      </c>
      <c r="L298" s="362"/>
    </row>
    <row r="299" spans="1:12" ht="12.75">
      <c r="A299" s="175"/>
      <c r="B299" s="11"/>
      <c r="C299" s="11" t="s">
        <v>123</v>
      </c>
      <c r="D299" s="334" t="s">
        <v>124</v>
      </c>
      <c r="E299" s="336">
        <v>130</v>
      </c>
      <c r="F299" s="11"/>
      <c r="G299" s="413">
        <v>5.5</v>
      </c>
      <c r="H299" s="336"/>
      <c r="I299" s="13"/>
      <c r="J299" s="220"/>
      <c r="K299" s="3">
        <f t="shared" si="0"/>
        <v>715</v>
      </c>
      <c r="L299" s="362"/>
    </row>
    <row r="300" spans="1:12" ht="12.75">
      <c r="A300" s="175"/>
      <c r="B300" s="11"/>
      <c r="C300" s="11" t="s">
        <v>123</v>
      </c>
      <c r="D300" s="11" t="s">
        <v>128</v>
      </c>
      <c r="E300" s="336">
        <v>160</v>
      </c>
      <c r="F300" s="11"/>
      <c r="G300" s="413">
        <v>7.94</v>
      </c>
      <c r="H300" s="11"/>
      <c r="I300" s="13"/>
      <c r="J300" s="220"/>
      <c r="K300" s="3">
        <f t="shared" si="0"/>
        <v>1270.4</v>
      </c>
      <c r="L300" s="362"/>
    </row>
    <row r="301" spans="1:12" ht="12.75">
      <c r="A301" s="175"/>
      <c r="B301" s="11"/>
      <c r="C301" s="11" t="s">
        <v>123</v>
      </c>
      <c r="D301" s="11" t="s">
        <v>470</v>
      </c>
      <c r="E301" s="336">
        <v>10</v>
      </c>
      <c r="F301" s="11"/>
      <c r="G301" s="413">
        <v>17.95</v>
      </c>
      <c r="H301" s="11"/>
      <c r="I301" s="13"/>
      <c r="J301" s="220"/>
      <c r="K301" s="3">
        <f>ROUND(G301*E301,2)</f>
        <v>179.5</v>
      </c>
      <c r="L301" s="362"/>
    </row>
    <row r="302" spans="1:12" ht="12.75">
      <c r="A302" s="175"/>
      <c r="B302" s="11"/>
      <c r="C302" s="11" t="s">
        <v>160</v>
      </c>
      <c r="D302" s="11" t="s">
        <v>161</v>
      </c>
      <c r="E302" s="336">
        <v>100</v>
      </c>
      <c r="F302" s="11"/>
      <c r="G302" s="413">
        <v>1.3</v>
      </c>
      <c r="H302" s="336"/>
      <c r="I302" s="13"/>
      <c r="J302" s="220"/>
      <c r="K302" s="3">
        <f t="shared" si="0"/>
        <v>130</v>
      </c>
      <c r="L302" s="362"/>
    </row>
    <row r="303" spans="1:12" ht="12.75">
      <c r="A303" s="175"/>
      <c r="B303" s="11"/>
      <c r="C303" s="11" t="s">
        <v>160</v>
      </c>
      <c r="D303" s="11" t="s">
        <v>162</v>
      </c>
      <c r="E303" s="336">
        <v>85</v>
      </c>
      <c r="F303" s="11"/>
      <c r="G303" s="413">
        <v>2.2</v>
      </c>
      <c r="H303" s="336"/>
      <c r="I303" s="13"/>
      <c r="J303" s="220"/>
      <c r="K303" s="3">
        <f t="shared" si="0"/>
        <v>187</v>
      </c>
      <c r="L303" s="362"/>
    </row>
    <row r="304" spans="1:12" ht="12.75">
      <c r="A304" s="175"/>
      <c r="B304" s="11"/>
      <c r="C304" s="11"/>
      <c r="D304" s="11"/>
      <c r="E304" s="336"/>
      <c r="F304" s="11"/>
      <c r="G304" s="413"/>
      <c r="H304" s="336"/>
      <c r="I304" s="13"/>
      <c r="L304" s="362"/>
    </row>
    <row r="305" spans="1:12" ht="12.75">
      <c r="A305" s="175"/>
      <c r="B305" s="11"/>
      <c r="C305" s="11" t="s">
        <v>121</v>
      </c>
      <c r="D305" s="11" t="s">
        <v>122</v>
      </c>
      <c r="E305" s="336">
        <v>110</v>
      </c>
      <c r="F305" s="11"/>
      <c r="G305" s="413">
        <v>1.68</v>
      </c>
      <c r="H305" s="11"/>
      <c r="I305" s="13"/>
      <c r="J305" s="220"/>
      <c r="K305" s="3">
        <f t="shared" si="0"/>
        <v>184.8</v>
      </c>
      <c r="L305" s="362"/>
    </row>
    <row r="306" spans="1:12" ht="12.75">
      <c r="A306" s="175"/>
      <c r="B306" s="11"/>
      <c r="C306" s="11"/>
      <c r="D306" s="11"/>
      <c r="E306" s="336"/>
      <c r="F306" s="11"/>
      <c r="G306" s="413"/>
      <c r="H306" s="11"/>
      <c r="I306" s="13"/>
      <c r="L306" s="362"/>
    </row>
    <row r="307" spans="1:12" ht="12.75">
      <c r="A307" s="308" t="s">
        <v>437</v>
      </c>
      <c r="B307" s="11"/>
      <c r="C307" s="7" t="s">
        <v>148</v>
      </c>
      <c r="D307" s="334"/>
      <c r="E307" s="11"/>
      <c r="F307" s="11"/>
      <c r="G307" s="13"/>
      <c r="H307" s="11"/>
      <c r="I307" s="11"/>
      <c r="L307" s="362"/>
    </row>
    <row r="308" spans="1:12" ht="12.75">
      <c r="A308" s="175"/>
      <c r="B308" s="11"/>
      <c r="C308" s="11" t="s">
        <v>319</v>
      </c>
      <c r="D308" s="11"/>
      <c r="E308" s="11"/>
      <c r="F308" s="11"/>
      <c r="G308" s="11"/>
      <c r="H308" s="336"/>
      <c r="I308" s="11"/>
      <c r="L308" s="362"/>
    </row>
    <row r="309" spans="1:12" ht="12.75">
      <c r="A309" s="175"/>
      <c r="B309" s="11"/>
      <c r="C309" s="11" t="s">
        <v>58</v>
      </c>
      <c r="D309" s="333">
        <v>220</v>
      </c>
      <c r="E309" s="11" t="s">
        <v>8</v>
      </c>
      <c r="F309" s="11" t="s">
        <v>394</v>
      </c>
      <c r="G309" s="332">
        <v>19.92</v>
      </c>
      <c r="H309" s="11" t="s">
        <v>166</v>
      </c>
      <c r="I309" s="11"/>
      <c r="J309" s="220"/>
      <c r="K309" s="3">
        <f>ROUND(G309*D309,2)</f>
        <v>4382.4</v>
      </c>
      <c r="L309" s="362"/>
    </row>
    <row r="310" spans="1:12" ht="12.75">
      <c r="A310" s="175"/>
      <c r="B310" s="11"/>
      <c r="C310" s="11" t="s">
        <v>9</v>
      </c>
      <c r="D310" s="334">
        <v>0.1</v>
      </c>
      <c r="E310" s="11" t="s">
        <v>10</v>
      </c>
      <c r="F310" s="11"/>
      <c r="G310" s="13"/>
      <c r="H310" s="11"/>
      <c r="I310" s="11"/>
      <c r="K310" s="3">
        <f>ROUND(K309*D310,2)</f>
        <v>438.24</v>
      </c>
      <c r="L310" s="362"/>
    </row>
    <row r="311" spans="1:12" ht="12.75">
      <c r="A311" s="175"/>
      <c r="B311" s="11"/>
      <c r="C311" s="11"/>
      <c r="D311" s="334">
        <v>0.15</v>
      </c>
      <c r="E311" s="11" t="s">
        <v>11</v>
      </c>
      <c r="F311" s="11"/>
      <c r="G311" s="13"/>
      <c r="H311" s="11"/>
      <c r="I311" s="11"/>
      <c r="K311" s="3">
        <f>ROUND(K309*D311,2)</f>
        <v>657.36</v>
      </c>
      <c r="L311" s="362"/>
    </row>
    <row r="312" spans="1:12" ht="12.75">
      <c r="A312" s="175"/>
      <c r="B312" s="11"/>
      <c r="C312" s="11"/>
      <c r="D312" s="334"/>
      <c r="E312" s="11"/>
      <c r="F312" s="11"/>
      <c r="G312" s="13"/>
      <c r="H312" s="11"/>
      <c r="I312" s="11"/>
      <c r="L312" s="362"/>
    </row>
    <row r="313" spans="1:12" ht="12.75">
      <c r="A313" s="308" t="s">
        <v>438</v>
      </c>
      <c r="B313" s="11"/>
      <c r="C313" s="7" t="s">
        <v>12</v>
      </c>
      <c r="D313" s="11"/>
      <c r="E313" s="335" t="s">
        <v>13</v>
      </c>
      <c r="F313" s="11"/>
      <c r="G313" s="335" t="s">
        <v>166</v>
      </c>
      <c r="H313" s="11"/>
      <c r="I313" s="11"/>
      <c r="L313" s="362"/>
    </row>
    <row r="314" spans="1:12" ht="12.75">
      <c r="A314" s="175"/>
      <c r="B314" s="11"/>
      <c r="C314" s="11" t="s">
        <v>86</v>
      </c>
      <c r="D314" s="11" t="s">
        <v>159</v>
      </c>
      <c r="E314" s="336">
        <v>100</v>
      </c>
      <c r="F314" s="11"/>
      <c r="G314" s="413">
        <v>12.62</v>
      </c>
      <c r="H314" s="11"/>
      <c r="I314" s="13"/>
      <c r="J314" s="220"/>
      <c r="K314" s="3">
        <f>ROUND(G314*E314,2)</f>
        <v>1262</v>
      </c>
      <c r="L314" s="362"/>
    </row>
    <row r="315" spans="1:12" ht="12.75">
      <c r="A315" s="175"/>
      <c r="B315" s="11"/>
      <c r="C315" s="11"/>
      <c r="D315" s="11"/>
      <c r="E315" s="336"/>
      <c r="F315" s="11"/>
      <c r="G315" s="413"/>
      <c r="H315" s="11"/>
      <c r="I315" s="13"/>
      <c r="L315" s="362"/>
    </row>
    <row r="316" spans="1:12" ht="12.75">
      <c r="A316" s="377"/>
      <c r="B316" s="426"/>
      <c r="C316" s="426" t="s">
        <v>449</v>
      </c>
      <c r="D316" s="426"/>
      <c r="E316" s="427"/>
      <c r="F316" s="426"/>
      <c r="G316" s="445"/>
      <c r="H316" s="426"/>
      <c r="I316" s="446"/>
      <c r="J316" s="170"/>
      <c r="K316" s="309">
        <f>SUM(K251:K315)</f>
        <v>90195.9</v>
      </c>
      <c r="L316" s="172"/>
    </row>
    <row r="317" spans="1:12" ht="12.75">
      <c r="A317" s="377"/>
      <c r="B317" s="426"/>
      <c r="C317" s="426" t="s">
        <v>449</v>
      </c>
      <c r="D317" s="426"/>
      <c r="E317" s="427"/>
      <c r="F317" s="426"/>
      <c r="G317" s="445"/>
      <c r="H317" s="426"/>
      <c r="I317" s="446"/>
      <c r="J317" s="170"/>
      <c r="K317" s="309">
        <f>K316</f>
        <v>90195.9</v>
      </c>
      <c r="L317" s="172"/>
    </row>
    <row r="318" spans="1:12" ht="12.75">
      <c r="A318" s="175"/>
      <c r="B318" s="11"/>
      <c r="C318" s="11"/>
      <c r="D318" s="11"/>
      <c r="E318" s="336"/>
      <c r="F318" s="11"/>
      <c r="G318" s="413"/>
      <c r="H318" s="11"/>
      <c r="I318" s="13"/>
      <c r="L318" s="362"/>
    </row>
    <row r="319" spans="1:12" ht="12.75">
      <c r="A319" s="308" t="s">
        <v>439</v>
      </c>
      <c r="B319" s="11"/>
      <c r="C319" s="7" t="s">
        <v>147</v>
      </c>
      <c r="D319" s="11"/>
      <c r="E319" s="11"/>
      <c r="F319" s="11"/>
      <c r="G319" s="332"/>
      <c r="H319" s="11"/>
      <c r="I319" s="11"/>
      <c r="K319" s="6"/>
      <c r="L319" s="362"/>
    </row>
    <row r="320" spans="1:12" ht="12.75">
      <c r="A320" s="308" t="s">
        <v>440</v>
      </c>
      <c r="B320" s="11"/>
      <c r="C320" s="11" t="s">
        <v>321</v>
      </c>
      <c r="D320" s="11"/>
      <c r="E320" s="11"/>
      <c r="F320" s="11"/>
      <c r="G320" s="332"/>
      <c r="H320" s="336"/>
      <c r="I320" s="11"/>
      <c r="L320" s="362"/>
    </row>
    <row r="321" spans="1:12" ht="12.75">
      <c r="A321" s="175"/>
      <c r="B321" s="11"/>
      <c r="C321" s="11" t="s">
        <v>117</v>
      </c>
      <c r="D321" s="11">
        <v>95</v>
      </c>
      <c r="E321" s="11" t="s">
        <v>59</v>
      </c>
      <c r="F321" s="11" t="s">
        <v>394</v>
      </c>
      <c r="G321" s="332">
        <v>19.92</v>
      </c>
      <c r="H321" s="11" t="s">
        <v>166</v>
      </c>
      <c r="I321" s="11"/>
      <c r="J321" s="220"/>
      <c r="K321" s="3">
        <f>ROUND(G321*D321,2)</f>
        <v>1892.4</v>
      </c>
      <c r="L321" s="362"/>
    </row>
    <row r="322" spans="1:12" ht="12.75">
      <c r="A322" s="175"/>
      <c r="B322" s="11"/>
      <c r="C322" s="11" t="s">
        <v>9</v>
      </c>
      <c r="D322" s="334">
        <v>0.1</v>
      </c>
      <c r="E322" s="11" t="s">
        <v>10</v>
      </c>
      <c r="F322" s="11"/>
      <c r="G322" s="447"/>
      <c r="H322" s="11"/>
      <c r="I322" s="11"/>
      <c r="K322" s="3">
        <f>ROUND(K321*D322,2)</f>
        <v>189.24</v>
      </c>
      <c r="L322" s="362"/>
    </row>
    <row r="323" spans="1:12" ht="12.75">
      <c r="A323" s="175"/>
      <c r="B323" s="11"/>
      <c r="C323" s="11"/>
      <c r="D323" s="334">
        <v>0.15</v>
      </c>
      <c r="E323" s="11" t="s">
        <v>11</v>
      </c>
      <c r="F323" s="11"/>
      <c r="G323" s="447"/>
      <c r="H323" s="11"/>
      <c r="I323" s="11"/>
      <c r="K323" s="3">
        <f>ROUND(K321*D323,2)</f>
        <v>283.86</v>
      </c>
      <c r="L323" s="362"/>
    </row>
    <row r="324" spans="1:12" ht="12.75">
      <c r="A324" s="175"/>
      <c r="B324" s="11"/>
      <c r="C324" s="11"/>
      <c r="D324" s="334"/>
      <c r="E324" s="11"/>
      <c r="F324" s="11"/>
      <c r="G324" s="447"/>
      <c r="H324" s="11"/>
      <c r="I324" s="11"/>
      <c r="L324" s="362"/>
    </row>
    <row r="325" spans="1:12" ht="12.75">
      <c r="A325" s="308" t="s">
        <v>441</v>
      </c>
      <c r="B325" s="11"/>
      <c r="C325" s="7" t="s">
        <v>12</v>
      </c>
      <c r="D325" s="11"/>
      <c r="E325" s="335" t="s">
        <v>13</v>
      </c>
      <c r="F325" s="11"/>
      <c r="G325" s="448" t="s">
        <v>166</v>
      </c>
      <c r="H325" s="11"/>
      <c r="I325" s="11"/>
      <c r="L325" s="362"/>
    </row>
    <row r="326" spans="1:12" ht="12.75">
      <c r="A326" s="175"/>
      <c r="B326" s="11"/>
      <c r="C326" s="11" t="s">
        <v>86</v>
      </c>
      <c r="D326" s="11" t="s">
        <v>159</v>
      </c>
      <c r="E326" s="336">
        <v>75</v>
      </c>
      <c r="F326" s="11"/>
      <c r="G326" s="413">
        <f>G314</f>
        <v>12.62</v>
      </c>
      <c r="H326" s="11"/>
      <c r="I326" s="13"/>
      <c r="J326" s="220"/>
      <c r="K326" s="3">
        <f>ROUND(G326*E326,2)</f>
        <v>946.5</v>
      </c>
      <c r="L326" s="362"/>
    </row>
    <row r="327" spans="1:12" ht="12.75">
      <c r="A327" s="175"/>
      <c r="B327" s="11"/>
      <c r="C327" s="11" t="s">
        <v>129</v>
      </c>
      <c r="D327" s="11"/>
      <c r="E327" s="336">
        <v>20</v>
      </c>
      <c r="F327" s="11"/>
      <c r="G327" s="413">
        <v>35.75</v>
      </c>
      <c r="H327" s="11"/>
      <c r="I327" s="13"/>
      <c r="J327" s="220"/>
      <c r="K327" s="3">
        <f>ROUND(G327*E327,2)</f>
        <v>715</v>
      </c>
      <c r="L327" s="362"/>
    </row>
    <row r="328" spans="1:12" ht="12.75">
      <c r="A328" s="175"/>
      <c r="B328" s="11"/>
      <c r="C328" s="11"/>
      <c r="D328" s="11"/>
      <c r="E328" s="11"/>
      <c r="F328" s="11"/>
      <c r="G328" s="11"/>
      <c r="H328" s="11"/>
      <c r="I328" s="11"/>
      <c r="K328" s="8"/>
      <c r="L328" s="362"/>
    </row>
    <row r="329" spans="1:12" ht="12.75">
      <c r="A329" s="308" t="s">
        <v>442</v>
      </c>
      <c r="B329" s="11"/>
      <c r="C329" s="11" t="s">
        <v>119</v>
      </c>
      <c r="D329" s="11"/>
      <c r="E329" s="11"/>
      <c r="F329" s="11"/>
      <c r="G329" s="332"/>
      <c r="H329" s="11"/>
      <c r="I329" s="11"/>
      <c r="L329" s="362"/>
    </row>
    <row r="330" spans="1:12" ht="12.75">
      <c r="A330" s="175"/>
      <c r="B330" s="11"/>
      <c r="C330" s="11" t="s">
        <v>309</v>
      </c>
      <c r="D330" s="11"/>
      <c r="E330" s="11"/>
      <c r="F330" s="11"/>
      <c r="G330" s="332"/>
      <c r="H330" s="336"/>
      <c r="I330" s="11"/>
      <c r="L330" s="362"/>
    </row>
    <row r="331" spans="1:12" ht="12.75">
      <c r="A331" s="175"/>
      <c r="B331" s="11"/>
      <c r="C331" s="11" t="s">
        <v>58</v>
      </c>
      <c r="D331" s="333">
        <v>120</v>
      </c>
      <c r="E331" s="11" t="s">
        <v>8</v>
      </c>
      <c r="F331" s="11" t="s">
        <v>394</v>
      </c>
      <c r="G331" s="332">
        <v>19.92</v>
      </c>
      <c r="H331" s="11" t="s">
        <v>166</v>
      </c>
      <c r="I331" s="11"/>
      <c r="J331" s="220"/>
      <c r="K331" s="3">
        <f>ROUND(G331*D331,2)</f>
        <v>2390.4</v>
      </c>
      <c r="L331" s="362"/>
    </row>
    <row r="332" spans="1:12" ht="12.75">
      <c r="A332" s="175"/>
      <c r="B332" s="11"/>
      <c r="C332" s="11" t="s">
        <v>9</v>
      </c>
      <c r="D332" s="334">
        <v>0.1</v>
      </c>
      <c r="E332" s="11" t="s">
        <v>10</v>
      </c>
      <c r="F332" s="11"/>
      <c r="G332" s="447"/>
      <c r="H332" s="11"/>
      <c r="I332" s="11"/>
      <c r="K332" s="3">
        <f>ROUND(K331*D332,2)</f>
        <v>239.04</v>
      </c>
      <c r="L332" s="362"/>
    </row>
    <row r="333" spans="1:12" ht="12.75">
      <c r="A333" s="175"/>
      <c r="B333" s="11"/>
      <c r="C333" s="11"/>
      <c r="D333" s="334">
        <v>0.15</v>
      </c>
      <c r="E333" s="11" t="s">
        <v>11</v>
      </c>
      <c r="F333" s="11"/>
      <c r="G333" s="447"/>
      <c r="H333" s="11"/>
      <c r="I333" s="11"/>
      <c r="K333" s="3">
        <f>ROUND(K331*D333,2)</f>
        <v>358.56</v>
      </c>
      <c r="L333" s="362"/>
    </row>
    <row r="334" spans="1:12" ht="12.75">
      <c r="A334" s="175"/>
      <c r="B334" s="11"/>
      <c r="C334" s="11"/>
      <c r="D334" s="334"/>
      <c r="E334" s="11"/>
      <c r="F334" s="11"/>
      <c r="G334" s="447"/>
      <c r="H334" s="11"/>
      <c r="I334" s="11"/>
      <c r="L334" s="362"/>
    </row>
    <row r="335" spans="1:12" ht="12.75">
      <c r="A335" s="308" t="s">
        <v>443</v>
      </c>
      <c r="B335" s="11"/>
      <c r="C335" s="11" t="s">
        <v>18</v>
      </c>
      <c r="D335" s="11"/>
      <c r="E335" s="11"/>
      <c r="F335" s="11"/>
      <c r="G335" s="332"/>
      <c r="H335" s="11"/>
      <c r="I335" s="11"/>
      <c r="L335" s="362"/>
    </row>
    <row r="336" spans="1:12" ht="12.75">
      <c r="A336" s="175"/>
      <c r="B336" s="11"/>
      <c r="C336" s="11" t="s">
        <v>312</v>
      </c>
      <c r="D336" s="11"/>
      <c r="E336" s="11"/>
      <c r="F336" s="11"/>
      <c r="G336" s="332">
        <f>G26</f>
        <v>40456</v>
      </c>
      <c r="H336" s="11" t="s">
        <v>324</v>
      </c>
      <c r="I336" s="11"/>
      <c r="L336" s="362"/>
    </row>
    <row r="337" spans="1:12" ht="12.75">
      <c r="A337" s="175"/>
      <c r="B337" s="11"/>
      <c r="C337" s="11" t="s">
        <v>7</v>
      </c>
      <c r="D337" s="334">
        <v>0.1</v>
      </c>
      <c r="E337" s="11" t="s">
        <v>16</v>
      </c>
      <c r="F337" s="11"/>
      <c r="G337" s="332"/>
      <c r="H337" s="11"/>
      <c r="I337" s="11"/>
      <c r="K337" s="3">
        <f>ROUND(G336*D337,2)</f>
        <v>4045.6</v>
      </c>
      <c r="L337" s="362"/>
    </row>
    <row r="338" spans="1:12" ht="12.75">
      <c r="A338" s="175"/>
      <c r="B338" s="11"/>
      <c r="C338" s="11" t="s">
        <v>9</v>
      </c>
      <c r="D338" s="334">
        <v>0.1</v>
      </c>
      <c r="E338" s="11" t="s">
        <v>10</v>
      </c>
      <c r="F338" s="11"/>
      <c r="G338" s="447"/>
      <c r="H338" s="11"/>
      <c r="I338" s="11"/>
      <c r="K338" s="3">
        <f>ROUND(K337*D338,2)</f>
        <v>404.56</v>
      </c>
      <c r="L338" s="362"/>
    </row>
    <row r="339" spans="1:12" ht="12.75">
      <c r="A339" s="175"/>
      <c r="B339" s="11"/>
      <c r="C339" s="11"/>
      <c r="D339" s="334">
        <v>0.2</v>
      </c>
      <c r="E339" s="11" t="s">
        <v>11</v>
      </c>
      <c r="F339" s="11"/>
      <c r="G339" s="447"/>
      <c r="H339" s="11"/>
      <c r="I339" s="11"/>
      <c r="K339" s="3">
        <f>ROUND(K337*D339,2)</f>
        <v>809.12</v>
      </c>
      <c r="L339" s="362"/>
    </row>
    <row r="340" spans="1:12" ht="12.75">
      <c r="A340" s="175"/>
      <c r="B340" s="11"/>
      <c r="C340" s="11"/>
      <c r="D340" s="11"/>
      <c r="E340" s="11"/>
      <c r="F340" s="11"/>
      <c r="G340" s="332"/>
      <c r="H340" s="11"/>
      <c r="I340" s="11"/>
      <c r="L340" s="362"/>
    </row>
    <row r="341" spans="1:12" ht="12.75">
      <c r="A341" s="308" t="s">
        <v>444</v>
      </c>
      <c r="B341" s="11"/>
      <c r="C341" s="11" t="s">
        <v>120</v>
      </c>
      <c r="D341" s="11"/>
      <c r="E341" s="11"/>
      <c r="F341" s="11"/>
      <c r="G341" s="332"/>
      <c r="H341" s="11"/>
      <c r="I341" s="11"/>
      <c r="L341" s="362"/>
    </row>
    <row r="342" spans="1:12" ht="12.75">
      <c r="A342" s="175"/>
      <c r="B342" s="11"/>
      <c r="C342" s="11" t="s">
        <v>312</v>
      </c>
      <c r="D342" s="11"/>
      <c r="E342" s="11"/>
      <c r="F342" s="11"/>
      <c r="G342" s="332">
        <v>40056</v>
      </c>
      <c r="H342" s="11" t="s">
        <v>324</v>
      </c>
      <c r="I342" s="11"/>
      <c r="L342" s="362"/>
    </row>
    <row r="343" spans="1:12" ht="12.75">
      <c r="A343" s="175"/>
      <c r="B343" s="11"/>
      <c r="C343" s="11" t="s">
        <v>7</v>
      </c>
      <c r="D343" s="334">
        <v>0.02</v>
      </c>
      <c r="E343" s="11" t="s">
        <v>16</v>
      </c>
      <c r="F343" s="11"/>
      <c r="G343" s="332"/>
      <c r="H343" s="11"/>
      <c r="I343" s="11"/>
      <c r="K343" s="3">
        <f>ROUND(G342*D343,2)</f>
        <v>801.12</v>
      </c>
      <c r="L343" s="362"/>
    </row>
    <row r="344" spans="1:12" ht="12.75">
      <c r="A344" s="175"/>
      <c r="B344" s="11"/>
      <c r="C344" s="11" t="s">
        <v>9</v>
      </c>
      <c r="D344" s="334">
        <v>0.1</v>
      </c>
      <c r="E344" s="11" t="s">
        <v>10</v>
      </c>
      <c r="F344" s="11"/>
      <c r="G344" s="447"/>
      <c r="H344" s="11"/>
      <c r="I344" s="11"/>
      <c r="K344" s="3">
        <f>ROUND(K343*D344,2)</f>
        <v>80.11</v>
      </c>
      <c r="L344" s="362"/>
    </row>
    <row r="345" spans="1:12" ht="12.75">
      <c r="A345" s="175"/>
      <c r="B345" s="11"/>
      <c r="C345" s="11"/>
      <c r="D345" s="334">
        <v>0.2</v>
      </c>
      <c r="E345" s="11" t="s">
        <v>11</v>
      </c>
      <c r="F345" s="11"/>
      <c r="G345" s="447"/>
      <c r="H345" s="11"/>
      <c r="I345" s="11"/>
      <c r="K345" s="3">
        <f>ROUND(K343*D345,2)</f>
        <v>160.22</v>
      </c>
      <c r="L345" s="362"/>
    </row>
    <row r="346" spans="1:12" ht="12.75">
      <c r="A346" s="175"/>
      <c r="B346" s="11"/>
      <c r="C346" s="11"/>
      <c r="D346" s="11"/>
      <c r="E346" s="11"/>
      <c r="F346" s="11"/>
      <c r="G346" s="332"/>
      <c r="H346" s="11"/>
      <c r="I346" s="11"/>
      <c r="L346" s="362"/>
    </row>
    <row r="347" spans="1:12" ht="12.75">
      <c r="A347" s="330" t="s">
        <v>445</v>
      </c>
      <c r="B347" s="11"/>
      <c r="C347" s="11" t="s">
        <v>300</v>
      </c>
      <c r="D347" s="11"/>
      <c r="E347" s="11"/>
      <c r="F347" s="11"/>
      <c r="G347" s="11"/>
      <c r="H347" s="11"/>
      <c r="I347" s="310" t="s">
        <v>322</v>
      </c>
      <c r="J347" s="11"/>
      <c r="K347" s="3">
        <v>3952.89</v>
      </c>
      <c r="L347" s="362"/>
    </row>
    <row r="348" spans="1:12" ht="12.75">
      <c r="A348" s="330"/>
      <c r="B348" s="11"/>
      <c r="C348" s="15" t="s">
        <v>323</v>
      </c>
      <c r="D348" s="11"/>
      <c r="E348" s="11"/>
      <c r="F348" s="11"/>
      <c r="G348" s="11"/>
      <c r="H348" s="11"/>
      <c r="I348" s="11"/>
      <c r="J348" s="11"/>
      <c r="L348" s="362"/>
    </row>
    <row r="349" spans="1:12" ht="12.75">
      <c r="A349" s="330"/>
      <c r="B349" s="11"/>
      <c r="C349" s="11"/>
      <c r="D349" s="11"/>
      <c r="E349" s="11"/>
      <c r="F349" s="11"/>
      <c r="G349" s="332"/>
      <c r="H349" s="11"/>
      <c r="I349" s="11"/>
      <c r="J349" s="11"/>
      <c r="L349" s="362"/>
    </row>
    <row r="350" spans="1:12" ht="12.75">
      <c r="A350" s="330" t="s">
        <v>344</v>
      </c>
      <c r="B350" s="8" t="s">
        <v>65</v>
      </c>
      <c r="C350" s="8" t="s">
        <v>66</v>
      </c>
      <c r="D350" s="11"/>
      <c r="E350" s="11"/>
      <c r="F350" s="11"/>
      <c r="G350" s="11"/>
      <c r="H350" s="11"/>
      <c r="I350" s="310" t="s">
        <v>420</v>
      </c>
      <c r="J350" s="11"/>
      <c r="K350" s="3">
        <v>8617.59</v>
      </c>
      <c r="L350" s="362"/>
    </row>
    <row r="351" spans="1:12" ht="12.75">
      <c r="A351" s="330"/>
      <c r="B351" s="11"/>
      <c r="C351" s="15" t="s">
        <v>67</v>
      </c>
      <c r="D351" s="11"/>
      <c r="E351" s="11"/>
      <c r="F351" s="11"/>
      <c r="G351" s="11"/>
      <c r="H351" s="11"/>
      <c r="I351" s="11"/>
      <c r="J351" s="11"/>
      <c r="L351" s="362"/>
    </row>
    <row r="352" spans="1:12" ht="12.75">
      <c r="A352" s="330"/>
      <c r="B352" s="11"/>
      <c r="C352" s="11"/>
      <c r="D352" s="11"/>
      <c r="E352" s="11"/>
      <c r="F352" s="11"/>
      <c r="G352" s="11"/>
      <c r="H352" s="11"/>
      <c r="I352" s="11"/>
      <c r="J352" s="11"/>
      <c r="L352" s="362"/>
    </row>
    <row r="353" spans="1:12" ht="12.75">
      <c r="A353" s="330" t="s">
        <v>345</v>
      </c>
      <c r="B353" s="8" t="s">
        <v>68</v>
      </c>
      <c r="C353" s="8" t="s">
        <v>69</v>
      </c>
      <c r="D353" s="11"/>
      <c r="E353" s="11"/>
      <c r="F353" s="11"/>
      <c r="G353" s="11"/>
      <c r="H353" s="11"/>
      <c r="I353" s="310" t="s">
        <v>420</v>
      </c>
      <c r="J353" s="11"/>
      <c r="K353" s="3">
        <v>2326.75</v>
      </c>
      <c r="L353" s="362"/>
    </row>
    <row r="354" spans="1:12" ht="12.75">
      <c r="A354" s="380"/>
      <c r="B354" s="11"/>
      <c r="C354" s="15" t="s">
        <v>67</v>
      </c>
      <c r="D354" s="11"/>
      <c r="E354" s="11"/>
      <c r="F354" s="11"/>
      <c r="G354" s="11"/>
      <c r="H354" s="11"/>
      <c r="I354" s="11"/>
      <c r="J354" s="253"/>
      <c r="L354" s="362"/>
    </row>
    <row r="355" spans="1:12" ht="12.75">
      <c r="A355" s="178"/>
      <c r="B355" s="340"/>
      <c r="C355" s="340"/>
      <c r="D355" s="340"/>
      <c r="E355" s="340"/>
      <c r="F355" s="340"/>
      <c r="G355" s="340"/>
      <c r="H355" s="340"/>
      <c r="I355" s="340"/>
      <c r="J355" s="179"/>
      <c r="K355" s="4"/>
      <c r="L355" s="363"/>
    </row>
    <row r="356" spans="1:12" ht="12.75">
      <c r="A356" s="175"/>
      <c r="B356" s="11"/>
      <c r="C356" s="11"/>
      <c r="D356" s="11"/>
      <c r="E356" s="11"/>
      <c r="F356" s="11"/>
      <c r="G356" s="11"/>
      <c r="H356" s="11"/>
      <c r="I356" s="11"/>
      <c r="L356" s="362"/>
    </row>
    <row r="357" spans="1:12" ht="12.75">
      <c r="A357" s="175"/>
      <c r="B357" s="11"/>
      <c r="C357" s="11"/>
      <c r="D357" s="11"/>
      <c r="E357" s="11"/>
      <c r="F357" s="11"/>
      <c r="G357" s="11"/>
      <c r="H357" s="11"/>
      <c r="I357" s="347" t="s">
        <v>21</v>
      </c>
      <c r="K357" s="3">
        <f>SUM(K317:K355)</f>
        <v>118408.85999999997</v>
      </c>
      <c r="L357" s="362"/>
    </row>
    <row r="358" spans="1:12" s="5" customFormat="1" ht="12.75">
      <c r="A358" s="307" t="s">
        <v>22</v>
      </c>
      <c r="B358" s="8" t="s">
        <v>23</v>
      </c>
      <c r="C358" s="8"/>
      <c r="D358" s="8"/>
      <c r="E358" s="8"/>
      <c r="F358" s="8"/>
      <c r="G358" s="8"/>
      <c r="H358" s="8"/>
      <c r="I358" s="8"/>
      <c r="K358" s="3"/>
      <c r="L358" s="381"/>
    </row>
    <row r="359" spans="1:12" ht="12.75">
      <c r="A359" s="175"/>
      <c r="B359" s="11"/>
      <c r="C359" s="11"/>
      <c r="D359" s="11"/>
      <c r="E359" s="11"/>
      <c r="F359" s="11"/>
      <c r="G359" s="11"/>
      <c r="H359" s="11"/>
      <c r="I359" s="11"/>
      <c r="L359" s="362"/>
    </row>
    <row r="360" spans="1:12" s="5" customFormat="1" ht="12.75">
      <c r="A360" s="175" t="s">
        <v>4</v>
      </c>
      <c r="B360" s="8" t="s">
        <v>24</v>
      </c>
      <c r="C360" s="8" t="s">
        <v>25</v>
      </c>
      <c r="D360" s="8"/>
      <c r="E360" s="8"/>
      <c r="F360" s="8"/>
      <c r="G360" s="8"/>
      <c r="H360" s="8"/>
      <c r="I360" s="8"/>
      <c r="K360" s="3"/>
      <c r="L360" s="381"/>
    </row>
    <row r="361" spans="1:12" ht="12.75">
      <c r="A361" s="175"/>
      <c r="B361" s="11"/>
      <c r="C361" s="11" t="s">
        <v>26</v>
      </c>
      <c r="D361" s="11"/>
      <c r="E361" s="11"/>
      <c r="F361" s="11"/>
      <c r="G361" s="11"/>
      <c r="H361" s="11"/>
      <c r="I361" s="345"/>
      <c r="K361" s="3">
        <v>858.78</v>
      </c>
      <c r="L361" s="362"/>
    </row>
    <row r="362" spans="1:12" ht="12.75">
      <c r="A362" s="175"/>
      <c r="B362" s="179"/>
      <c r="C362" s="179"/>
      <c r="D362" s="179"/>
      <c r="E362" s="179"/>
      <c r="F362" s="179"/>
      <c r="G362" s="179"/>
      <c r="H362" s="179"/>
      <c r="I362" s="179"/>
      <c r="J362" s="179"/>
      <c r="K362" s="4"/>
      <c r="L362" s="362"/>
    </row>
    <row r="363" spans="1:12" ht="12.75">
      <c r="A363" s="175"/>
      <c r="L363" s="362"/>
    </row>
    <row r="364" spans="1:12" ht="12.75">
      <c r="A364" s="175"/>
      <c r="B364" s="347"/>
      <c r="C364" s="11" t="s">
        <v>468</v>
      </c>
      <c r="D364" s="11"/>
      <c r="E364" s="11"/>
      <c r="F364" s="11"/>
      <c r="G364" s="11"/>
      <c r="H364" s="11"/>
      <c r="I364" s="219"/>
      <c r="J364" s="2" t="s">
        <v>27</v>
      </c>
      <c r="K364" s="3">
        <f>K357-K361</f>
        <v>117550.07999999997</v>
      </c>
      <c r="L364" s="362"/>
    </row>
    <row r="365" spans="1:12" ht="12.75">
      <c r="A365" s="175"/>
      <c r="B365" s="11"/>
      <c r="C365" s="11" t="s">
        <v>130</v>
      </c>
      <c r="D365" s="429">
        <v>155193</v>
      </c>
      <c r="E365" s="11" t="s">
        <v>131</v>
      </c>
      <c r="F365" s="11"/>
      <c r="G365" s="11"/>
      <c r="H365" s="11"/>
      <c r="J365" s="2"/>
      <c r="L365" s="362"/>
    </row>
    <row r="366" spans="1:12" ht="12.75">
      <c r="A366" s="175"/>
      <c r="B366" s="11"/>
      <c r="C366" s="11"/>
      <c r="D366" s="11"/>
      <c r="E366" s="11"/>
      <c r="F366" s="11"/>
      <c r="G366" s="11"/>
      <c r="H366" s="11"/>
      <c r="J366" s="2"/>
      <c r="L366" s="362"/>
    </row>
    <row r="367" spans="1:12" ht="12.75">
      <c r="A367" s="175"/>
      <c r="B367" s="347"/>
      <c r="C367" s="11" t="s">
        <v>15</v>
      </c>
      <c r="D367" s="11" t="s">
        <v>28</v>
      </c>
      <c r="E367" s="11"/>
      <c r="F367" s="11"/>
      <c r="G367" s="430">
        <v>136762</v>
      </c>
      <c r="H367" s="11"/>
      <c r="J367" s="2" t="s">
        <v>29</v>
      </c>
      <c r="K367" s="3">
        <f>ROUND(K364*G367/D365,2)</f>
        <v>103589.62</v>
      </c>
      <c r="L367" s="362"/>
    </row>
    <row r="368" spans="1:12" ht="12.75">
      <c r="A368" s="175"/>
      <c r="B368" s="347"/>
      <c r="C368" s="11"/>
      <c r="D368" s="11" t="s">
        <v>30</v>
      </c>
      <c r="E368" s="11"/>
      <c r="F368" s="11"/>
      <c r="G368" s="11"/>
      <c r="H368" s="11"/>
      <c r="J368" s="2" t="s">
        <v>31</v>
      </c>
      <c r="K368" s="9">
        <f>ROUND(K367*0.25,2)</f>
        <v>25897.41</v>
      </c>
      <c r="L368" s="362"/>
    </row>
    <row r="369" spans="1:12" ht="12.75">
      <c r="A369" s="175"/>
      <c r="B369" s="347"/>
      <c r="C369" s="11"/>
      <c r="D369" s="11" t="s">
        <v>32</v>
      </c>
      <c r="E369" s="11"/>
      <c r="F369" s="11"/>
      <c r="G369" s="11"/>
      <c r="H369" s="11"/>
      <c r="J369" s="2" t="s">
        <v>33</v>
      </c>
      <c r="K369" s="3">
        <f>K367-K368</f>
        <v>77692.20999999999</v>
      </c>
      <c r="L369" s="362"/>
    </row>
    <row r="370" spans="1:12" ht="12.75">
      <c r="A370" s="175"/>
      <c r="B370" s="347"/>
      <c r="C370" s="11"/>
      <c r="D370" s="11" t="s">
        <v>461</v>
      </c>
      <c r="E370" s="11"/>
      <c r="F370" s="11"/>
      <c r="G370" s="11"/>
      <c r="H370" s="11"/>
      <c r="J370" s="2" t="s">
        <v>34</v>
      </c>
      <c r="K370" s="14">
        <f>K371-K369</f>
        <v>262.13000000000466</v>
      </c>
      <c r="L370" s="362"/>
    </row>
    <row r="371" spans="1:12" ht="12.75">
      <c r="A371" s="175"/>
      <c r="B371" s="347"/>
      <c r="C371" s="11"/>
      <c r="D371" s="11" t="s">
        <v>163</v>
      </c>
      <c r="E371" s="11"/>
      <c r="F371" s="11"/>
      <c r="G371" s="11"/>
      <c r="H371" s="11"/>
      <c r="J371" s="2" t="s">
        <v>35</v>
      </c>
      <c r="K371" s="3">
        <f>K384</f>
        <v>77954.34</v>
      </c>
      <c r="L371" s="362"/>
    </row>
    <row r="372" spans="1:12" ht="12.75">
      <c r="A372" s="175"/>
      <c r="B372" s="347"/>
      <c r="C372" s="11"/>
      <c r="D372" s="11"/>
      <c r="E372" s="11"/>
      <c r="F372" s="11"/>
      <c r="G372" s="11"/>
      <c r="H372" s="11"/>
      <c r="J372" s="2"/>
      <c r="L372" s="362"/>
    </row>
    <row r="373" spans="1:12" ht="12.75">
      <c r="A373" s="175"/>
      <c r="B373" s="11"/>
      <c r="C373" s="11"/>
      <c r="D373" s="11" t="s">
        <v>36</v>
      </c>
      <c r="E373" s="11"/>
      <c r="F373" s="11"/>
      <c r="G373" s="430">
        <f>D365-G367</f>
        <v>18431</v>
      </c>
      <c r="H373" s="11"/>
      <c r="J373" s="2" t="s">
        <v>37</v>
      </c>
      <c r="K373" s="3">
        <f>ROUND(K364*G373/D365,2)</f>
        <v>13960.46</v>
      </c>
      <c r="L373" s="362"/>
    </row>
    <row r="374" spans="1:12" ht="12.75">
      <c r="A374" s="178"/>
      <c r="B374" s="179"/>
      <c r="C374" s="179"/>
      <c r="D374" s="179"/>
      <c r="E374" s="179"/>
      <c r="F374" s="179"/>
      <c r="G374" s="179"/>
      <c r="H374" s="179"/>
      <c r="I374" s="179"/>
      <c r="J374" s="217"/>
      <c r="K374" s="4"/>
      <c r="L374" s="363"/>
    </row>
    <row r="375" spans="1:12" ht="12.75">
      <c r="A375" s="175"/>
      <c r="L375" s="362"/>
    </row>
    <row r="376" spans="1:12" ht="12.75">
      <c r="A376" s="307" t="s">
        <v>38</v>
      </c>
      <c r="B376" s="5" t="s">
        <v>39</v>
      </c>
      <c r="K376" s="6"/>
      <c r="L376" s="362"/>
    </row>
    <row r="377" spans="1:12" ht="12.75">
      <c r="A377" s="175"/>
      <c r="L377" s="362"/>
    </row>
    <row r="378" spans="1:12" ht="12.75">
      <c r="A378" s="175"/>
      <c r="B378" s="5" t="s">
        <v>40</v>
      </c>
      <c r="C378" s="5" t="s">
        <v>41</v>
      </c>
      <c r="L378" s="362"/>
    </row>
    <row r="379" spans="1:12" ht="12.75">
      <c r="A379" s="175"/>
      <c r="L379" s="362"/>
    </row>
    <row r="380" spans="1:12" ht="12.75">
      <c r="A380" s="330"/>
      <c r="B380" s="11"/>
      <c r="C380" s="11"/>
      <c r="D380" s="11"/>
      <c r="E380" s="11"/>
      <c r="F380" s="11"/>
      <c r="G380" s="336" t="s">
        <v>42</v>
      </c>
      <c r="H380" s="11"/>
      <c r="I380" s="336" t="s">
        <v>43</v>
      </c>
      <c r="J380" s="11"/>
      <c r="K380" s="10" t="s">
        <v>44</v>
      </c>
      <c r="L380" s="362"/>
    </row>
    <row r="381" spans="1:12" ht="12.75">
      <c r="A381" s="330"/>
      <c r="B381" s="11"/>
      <c r="C381" s="11"/>
      <c r="D381" s="11"/>
      <c r="E381" s="11"/>
      <c r="F381" s="11"/>
      <c r="G381" s="336" t="s">
        <v>45</v>
      </c>
      <c r="H381" s="11"/>
      <c r="I381" s="336"/>
      <c r="J381" s="11"/>
      <c r="K381" s="10" t="s">
        <v>46</v>
      </c>
      <c r="L381" s="362"/>
    </row>
    <row r="382" spans="1:12" ht="12.75">
      <c r="A382" s="330"/>
      <c r="B382" s="340"/>
      <c r="C382" s="340"/>
      <c r="D382" s="340"/>
      <c r="E382" s="340"/>
      <c r="F382" s="340"/>
      <c r="G382" s="349"/>
      <c r="H382" s="340"/>
      <c r="I382" s="349" t="s">
        <v>140</v>
      </c>
      <c r="J382" s="340"/>
      <c r="K382" s="12" t="s">
        <v>165</v>
      </c>
      <c r="L382" s="362"/>
    </row>
    <row r="383" spans="1:12" ht="12.75">
      <c r="A383" s="330"/>
      <c r="B383" s="11"/>
      <c r="C383" s="11"/>
      <c r="D383" s="11"/>
      <c r="E383" s="11"/>
      <c r="F383" s="11"/>
      <c r="G383" s="11"/>
      <c r="H383" s="11"/>
      <c r="I383" s="11"/>
      <c r="J383" s="11"/>
      <c r="L383" s="362"/>
    </row>
    <row r="384" spans="1:12" ht="12.75">
      <c r="A384" s="350"/>
      <c r="B384" s="327" t="s">
        <v>132</v>
      </c>
      <c r="C384" s="327"/>
      <c r="D384" s="327"/>
      <c r="E384" s="327"/>
      <c r="F384" s="327"/>
      <c r="G384" s="419">
        <f>G367</f>
        <v>136762</v>
      </c>
      <c r="H384" s="327"/>
      <c r="I384" s="420">
        <f>ROUND(K369/G384,2)</f>
        <v>0.57</v>
      </c>
      <c r="J384" s="351" t="s">
        <v>48</v>
      </c>
      <c r="K384" s="315">
        <f>ROUND(G384*I384,2)</f>
        <v>77954.34</v>
      </c>
      <c r="L384" s="365"/>
    </row>
    <row r="385" spans="1:12" ht="12.75">
      <c r="A385" s="330"/>
      <c r="B385" s="11"/>
      <c r="C385" s="11"/>
      <c r="D385" s="11"/>
      <c r="E385" s="11"/>
      <c r="F385" s="11"/>
      <c r="G385" s="421"/>
      <c r="H385" s="11"/>
      <c r="I385" s="413"/>
      <c r="J385" s="336"/>
      <c r="L385" s="362"/>
    </row>
    <row r="386" spans="1:12" ht="12.75">
      <c r="A386" s="339"/>
      <c r="B386" s="340"/>
      <c r="C386" s="340"/>
      <c r="D386" s="340"/>
      <c r="E386" s="340"/>
      <c r="F386" s="340"/>
      <c r="G386" s="422"/>
      <c r="H386" s="340"/>
      <c r="I386" s="353"/>
      <c r="J386" s="349"/>
      <c r="K386" s="4"/>
      <c r="L386" s="363"/>
    </row>
    <row r="387" spans="1:12" ht="12.75">
      <c r="A387" s="354"/>
      <c r="B387" s="323"/>
      <c r="C387" s="323"/>
      <c r="D387" s="323"/>
      <c r="E387" s="323"/>
      <c r="F387" s="323"/>
      <c r="G387" s="323"/>
      <c r="H387" s="323"/>
      <c r="I387" s="323"/>
      <c r="J387" s="323"/>
      <c r="K387" s="319"/>
      <c r="L387" s="361"/>
    </row>
    <row r="388" spans="1:12" ht="12.75">
      <c r="A388" s="326" t="s">
        <v>133</v>
      </c>
      <c r="B388" s="202" t="s">
        <v>134</v>
      </c>
      <c r="C388" s="327"/>
      <c r="D388" s="327"/>
      <c r="E388" s="327"/>
      <c r="F388" s="327"/>
      <c r="G388" s="327"/>
      <c r="H388" s="327"/>
      <c r="I388" s="327"/>
      <c r="J388" s="327"/>
      <c r="K388" s="360"/>
      <c r="L388" s="365"/>
    </row>
    <row r="389" spans="1:12" ht="12.75">
      <c r="A389" s="330"/>
      <c r="B389" s="11"/>
      <c r="C389" s="11"/>
      <c r="D389" s="11"/>
      <c r="E389" s="11"/>
      <c r="F389" s="11"/>
      <c r="G389" s="11"/>
      <c r="H389" s="11"/>
      <c r="I389" s="11"/>
      <c r="J389" s="11"/>
      <c r="L389" s="362"/>
    </row>
    <row r="390" spans="1:12" ht="12.75">
      <c r="A390" s="317" t="s">
        <v>2</v>
      </c>
      <c r="B390" s="8" t="s">
        <v>3</v>
      </c>
      <c r="C390" s="11"/>
      <c r="D390" s="11"/>
      <c r="E390" s="11"/>
      <c r="F390" s="11"/>
      <c r="G390" s="11"/>
      <c r="H390" s="11"/>
      <c r="I390" s="11"/>
      <c r="J390" s="11"/>
      <c r="L390" s="362"/>
    </row>
    <row r="391" spans="1:12" ht="12.75">
      <c r="A391" s="330"/>
      <c r="B391" s="11"/>
      <c r="C391" s="11"/>
      <c r="D391" s="11"/>
      <c r="E391" s="11"/>
      <c r="F391" s="11"/>
      <c r="G391" s="11"/>
      <c r="H391" s="11"/>
      <c r="I391" s="11"/>
      <c r="J391" s="11"/>
      <c r="L391" s="362"/>
    </row>
    <row r="392" spans="1:12" ht="12.75">
      <c r="A392" s="330" t="s">
        <v>4</v>
      </c>
      <c r="B392" s="8" t="s">
        <v>424</v>
      </c>
      <c r="C392" s="8" t="s">
        <v>421</v>
      </c>
      <c r="D392" s="11"/>
      <c r="E392" s="11"/>
      <c r="F392" s="11"/>
      <c r="G392" s="11"/>
      <c r="H392" s="11"/>
      <c r="I392" s="310" t="s">
        <v>393</v>
      </c>
      <c r="J392" s="11"/>
      <c r="K392" s="3">
        <v>5601.46</v>
      </c>
      <c r="L392" s="362"/>
    </row>
    <row r="393" spans="1:12" ht="12.75">
      <c r="A393" s="330"/>
      <c r="B393" s="11"/>
      <c r="C393" s="7"/>
      <c r="D393" s="11"/>
      <c r="E393" s="11"/>
      <c r="F393" s="11"/>
      <c r="G393" s="11"/>
      <c r="H393" s="11"/>
      <c r="I393" s="11"/>
      <c r="J393" s="11"/>
      <c r="L393" s="362"/>
    </row>
    <row r="394" spans="1:12" ht="12.75">
      <c r="A394" s="330" t="s">
        <v>55</v>
      </c>
      <c r="B394" s="8" t="s">
        <v>5</v>
      </c>
      <c r="C394" s="8" t="s">
        <v>6</v>
      </c>
      <c r="D394" s="423"/>
      <c r="E394" s="11"/>
      <c r="F394" s="11"/>
      <c r="G394" s="13"/>
      <c r="H394" s="11"/>
      <c r="I394" s="11"/>
      <c r="J394" s="11"/>
      <c r="L394" s="362"/>
    </row>
    <row r="395" spans="1:12" ht="12.75">
      <c r="A395" s="330"/>
      <c r="B395" s="11"/>
      <c r="C395" s="11" t="s">
        <v>18</v>
      </c>
      <c r="D395" s="11"/>
      <c r="E395" s="11"/>
      <c r="F395" s="11"/>
      <c r="G395" s="11"/>
      <c r="H395" s="11"/>
      <c r="I395" s="11"/>
      <c r="J395" s="11"/>
      <c r="L395" s="362"/>
    </row>
    <row r="396" spans="1:12" ht="12.75">
      <c r="A396" s="330"/>
      <c r="B396" s="11"/>
      <c r="C396" s="11" t="s">
        <v>312</v>
      </c>
      <c r="D396" s="11"/>
      <c r="E396" s="11"/>
      <c r="F396" s="11"/>
      <c r="G396" s="332">
        <f>G26</f>
        <v>40456</v>
      </c>
      <c r="H396" s="11" t="s">
        <v>324</v>
      </c>
      <c r="I396" s="11"/>
      <c r="J396" s="11"/>
      <c r="L396" s="362"/>
    </row>
    <row r="397" spans="1:12" ht="12.75">
      <c r="A397" s="330"/>
      <c r="B397" s="11"/>
      <c r="C397" s="11" t="s">
        <v>7</v>
      </c>
      <c r="D397" s="334">
        <v>0.005</v>
      </c>
      <c r="E397" s="11" t="s">
        <v>16</v>
      </c>
      <c r="F397" s="11"/>
      <c r="G397" s="11"/>
      <c r="H397" s="11"/>
      <c r="I397" s="11"/>
      <c r="J397" s="11"/>
      <c r="K397" s="3">
        <f>G396*D397</f>
        <v>202.28</v>
      </c>
      <c r="L397" s="362"/>
    </row>
    <row r="398" spans="1:12" ht="12.75">
      <c r="A398" s="330"/>
      <c r="B398" s="11"/>
      <c r="C398" s="11" t="s">
        <v>9</v>
      </c>
      <c r="D398" s="334">
        <v>0.1</v>
      </c>
      <c r="E398" s="11" t="s">
        <v>10</v>
      </c>
      <c r="F398" s="11"/>
      <c r="G398" s="13"/>
      <c r="H398" s="11"/>
      <c r="I398" s="11"/>
      <c r="J398" s="11"/>
      <c r="K398" s="3">
        <f>K397*D398</f>
        <v>20.228</v>
      </c>
      <c r="L398" s="362"/>
    </row>
    <row r="399" spans="1:12" ht="12.75">
      <c r="A399" s="330"/>
      <c r="B399" s="11"/>
      <c r="C399" s="11"/>
      <c r="D399" s="334">
        <v>0.2</v>
      </c>
      <c r="E399" s="11" t="s">
        <v>11</v>
      </c>
      <c r="F399" s="11"/>
      <c r="G399" s="13"/>
      <c r="H399" s="11"/>
      <c r="I399" s="11"/>
      <c r="J399" s="11"/>
      <c r="K399" s="3">
        <f>K397*D399</f>
        <v>40.456</v>
      </c>
      <c r="L399" s="362"/>
    </row>
    <row r="400" spans="1:12" ht="12.75">
      <c r="A400" s="330"/>
      <c r="B400" s="11"/>
      <c r="C400" s="11"/>
      <c r="D400" s="423"/>
      <c r="E400" s="11"/>
      <c r="F400" s="11"/>
      <c r="G400" s="13"/>
      <c r="H400" s="11"/>
      <c r="I400" s="11"/>
      <c r="J400" s="11"/>
      <c r="L400" s="362"/>
    </row>
    <row r="401" spans="1:12" ht="12.75">
      <c r="A401" s="339"/>
      <c r="B401" s="340"/>
      <c r="C401" s="340"/>
      <c r="D401" s="340"/>
      <c r="E401" s="340"/>
      <c r="F401" s="340"/>
      <c r="G401" s="340"/>
      <c r="H401" s="340"/>
      <c r="I401" s="340"/>
      <c r="J401" s="340"/>
      <c r="K401" s="4"/>
      <c r="L401" s="363"/>
    </row>
    <row r="402" spans="1:12" ht="12.75">
      <c r="A402" s="354"/>
      <c r="B402" s="323"/>
      <c r="C402" s="323"/>
      <c r="D402" s="323"/>
      <c r="E402" s="323"/>
      <c r="F402" s="323"/>
      <c r="G402" s="323"/>
      <c r="H402" s="323"/>
      <c r="I402" s="323"/>
      <c r="J402" s="323"/>
      <c r="K402" s="319"/>
      <c r="L402" s="361"/>
    </row>
    <row r="403" spans="1:12" ht="12.75">
      <c r="A403" s="330"/>
      <c r="B403" s="11"/>
      <c r="C403" s="11" t="s">
        <v>475</v>
      </c>
      <c r="D403" s="11"/>
      <c r="E403" s="11"/>
      <c r="F403" s="11"/>
      <c r="G403" s="11"/>
      <c r="H403" s="11"/>
      <c r="I403" s="424"/>
      <c r="J403" s="336"/>
      <c r="K403" s="3">
        <f>SUM(K390:K401)</f>
        <v>5864.424</v>
      </c>
      <c r="L403" s="362"/>
    </row>
    <row r="404" spans="1:12" ht="12.75">
      <c r="A404" s="330"/>
      <c r="B404" s="11"/>
      <c r="C404" s="11"/>
      <c r="D404" s="11"/>
      <c r="E404" s="11"/>
      <c r="F404" s="11"/>
      <c r="G404" s="11"/>
      <c r="H404" s="11"/>
      <c r="I404" s="11"/>
      <c r="J404" s="336"/>
      <c r="L404" s="362"/>
    </row>
    <row r="405" spans="1:12" ht="12.75">
      <c r="A405" s="330"/>
      <c r="B405" s="11"/>
      <c r="C405" s="11" t="s">
        <v>15</v>
      </c>
      <c r="D405" s="11" t="s">
        <v>135</v>
      </c>
      <c r="E405" s="11"/>
      <c r="F405" s="11"/>
      <c r="G405" s="425"/>
      <c r="H405" s="11"/>
      <c r="I405" s="11"/>
      <c r="J405" s="336"/>
      <c r="K405" s="3">
        <f>K403*G405/156153</f>
        <v>0</v>
      </c>
      <c r="L405" s="362"/>
    </row>
    <row r="406" spans="1:12" ht="12.75">
      <c r="A406" s="330"/>
      <c r="B406" s="11"/>
      <c r="C406" s="11"/>
      <c r="D406" s="11"/>
      <c r="E406" s="11"/>
      <c r="F406" s="11"/>
      <c r="G406" s="11"/>
      <c r="H406" s="11"/>
      <c r="I406" s="11"/>
      <c r="J406" s="336"/>
      <c r="K406" s="9"/>
      <c r="L406" s="362"/>
    </row>
    <row r="407" spans="1:12" ht="12.75">
      <c r="A407" s="330"/>
      <c r="B407" s="11"/>
      <c r="C407" s="11"/>
      <c r="D407" s="11" t="s">
        <v>136</v>
      </c>
      <c r="E407" s="11"/>
      <c r="F407" s="11"/>
      <c r="G407" s="11"/>
      <c r="H407" s="11"/>
      <c r="I407" s="11"/>
      <c r="J407" s="336"/>
      <c r="K407" s="3">
        <f>SUM(K403:K403)</f>
        <v>5864.424</v>
      </c>
      <c r="L407" s="362"/>
    </row>
    <row r="408" spans="1:12" ht="12.75">
      <c r="A408" s="330"/>
      <c r="B408" s="11"/>
      <c r="C408" s="11"/>
      <c r="D408" s="11" t="s">
        <v>3</v>
      </c>
      <c r="E408" s="11"/>
      <c r="F408" s="11"/>
      <c r="G408" s="11"/>
      <c r="H408" s="11"/>
      <c r="I408" s="11"/>
      <c r="J408" s="336"/>
      <c r="K408" s="9"/>
      <c r="L408" s="362"/>
    </row>
    <row r="409" spans="1:12" ht="12.75">
      <c r="A409" s="330"/>
      <c r="B409" s="11"/>
      <c r="C409" s="11"/>
      <c r="D409" s="11"/>
      <c r="E409" s="11"/>
      <c r="F409" s="11"/>
      <c r="G409" s="11"/>
      <c r="H409" s="11"/>
      <c r="I409" s="11"/>
      <c r="J409" s="336"/>
      <c r="L409" s="363"/>
    </row>
    <row r="410" spans="1:11" ht="78" customHeight="1">
      <c r="A410" s="426"/>
      <c r="B410" s="426"/>
      <c r="C410" s="426"/>
      <c r="D410" s="426"/>
      <c r="E410" s="426"/>
      <c r="F410" s="426"/>
      <c r="G410" s="426"/>
      <c r="H410" s="426"/>
      <c r="I410" s="426"/>
      <c r="J410" s="427"/>
      <c r="K410" s="309"/>
    </row>
    <row r="411" spans="1:12" ht="12.75">
      <c r="A411" s="330"/>
      <c r="B411" s="11"/>
      <c r="C411" s="11"/>
      <c r="D411" s="11"/>
      <c r="E411" s="11"/>
      <c r="F411" s="11"/>
      <c r="G411" s="11"/>
      <c r="H411" s="11"/>
      <c r="I411" s="11"/>
      <c r="J411" s="336"/>
      <c r="L411" s="361"/>
    </row>
    <row r="412" spans="1:12" ht="12.75">
      <c r="A412" s="326" t="s">
        <v>137</v>
      </c>
      <c r="B412" s="202" t="s">
        <v>138</v>
      </c>
      <c r="C412" s="327"/>
      <c r="D412" s="327"/>
      <c r="E412" s="327"/>
      <c r="F412" s="327"/>
      <c r="G412" s="428"/>
      <c r="H412" s="327"/>
      <c r="I412" s="327"/>
      <c r="J412" s="351"/>
      <c r="K412" s="360"/>
      <c r="L412" s="365"/>
    </row>
    <row r="413" spans="1:12" ht="12.75">
      <c r="A413" s="330"/>
      <c r="B413" s="11"/>
      <c r="C413" s="11"/>
      <c r="D413" s="11"/>
      <c r="E413" s="11"/>
      <c r="F413" s="11"/>
      <c r="G413" s="11"/>
      <c r="H413" s="11"/>
      <c r="I413" s="11"/>
      <c r="J413" s="11"/>
      <c r="L413" s="362"/>
    </row>
    <row r="414" spans="1:12" ht="12.75">
      <c r="A414" s="317" t="s">
        <v>2</v>
      </c>
      <c r="B414" s="8" t="s">
        <v>3</v>
      </c>
      <c r="C414" s="11"/>
      <c r="D414" s="11"/>
      <c r="E414" s="11"/>
      <c r="F414" s="11"/>
      <c r="G414" s="11"/>
      <c r="H414" s="11"/>
      <c r="I414" s="11"/>
      <c r="J414" s="11"/>
      <c r="L414" s="362"/>
    </row>
    <row r="415" spans="1:12" ht="12.75">
      <c r="A415" s="330"/>
      <c r="B415" s="11"/>
      <c r="C415" s="11"/>
      <c r="D415" s="11"/>
      <c r="E415" s="11"/>
      <c r="F415" s="11"/>
      <c r="G415" s="11"/>
      <c r="H415" s="11"/>
      <c r="I415" s="11"/>
      <c r="J415" s="11"/>
      <c r="L415" s="362"/>
    </row>
    <row r="416" spans="1:12" ht="12.75">
      <c r="A416" s="330" t="s">
        <v>4</v>
      </c>
      <c r="B416" s="8" t="s">
        <v>424</v>
      </c>
      <c r="C416" s="8" t="s">
        <v>421</v>
      </c>
      <c r="D416" s="11"/>
      <c r="E416" s="11"/>
      <c r="F416" s="11"/>
      <c r="G416" s="11"/>
      <c r="H416" s="11"/>
      <c r="I416" s="310" t="s">
        <v>393</v>
      </c>
      <c r="J416" s="11"/>
      <c r="K416" s="3">
        <v>3147.83</v>
      </c>
      <c r="L416" s="362"/>
    </row>
    <row r="417" spans="1:12" ht="12.75">
      <c r="A417" s="330"/>
      <c r="B417" s="11"/>
      <c r="C417" s="15" t="s">
        <v>422</v>
      </c>
      <c r="D417" s="11"/>
      <c r="E417" s="11"/>
      <c r="F417" s="11"/>
      <c r="G417" s="11"/>
      <c r="H417" s="11"/>
      <c r="I417" s="11"/>
      <c r="J417" s="11"/>
      <c r="L417" s="362"/>
    </row>
    <row r="418" spans="1:12" ht="12.75">
      <c r="A418" s="330"/>
      <c r="B418" s="11"/>
      <c r="C418" s="15" t="s">
        <v>423</v>
      </c>
      <c r="D418" s="11"/>
      <c r="E418" s="11"/>
      <c r="F418" s="11"/>
      <c r="G418" s="11"/>
      <c r="H418" s="11"/>
      <c r="I418" s="11"/>
      <c r="J418" s="11"/>
      <c r="L418" s="362"/>
    </row>
    <row r="419" spans="1:12" ht="12.75">
      <c r="A419" s="330"/>
      <c r="B419" s="11"/>
      <c r="C419" s="7"/>
      <c r="D419" s="11"/>
      <c r="E419" s="11"/>
      <c r="F419" s="11"/>
      <c r="G419" s="11"/>
      <c r="H419" s="11"/>
      <c r="I419" s="11"/>
      <c r="J419" s="11"/>
      <c r="L419" s="362"/>
    </row>
    <row r="420" spans="1:12" ht="12.75">
      <c r="A420" s="330" t="s">
        <v>55</v>
      </c>
      <c r="B420" s="8" t="s">
        <v>5</v>
      </c>
      <c r="C420" s="8" t="s">
        <v>6</v>
      </c>
      <c r="D420" s="11"/>
      <c r="E420" s="11"/>
      <c r="F420" s="11"/>
      <c r="G420" s="11"/>
      <c r="H420" s="11"/>
      <c r="I420" s="11"/>
      <c r="J420" s="11"/>
      <c r="L420" s="362"/>
    </row>
    <row r="421" spans="1:12" ht="12.75">
      <c r="A421" s="330"/>
      <c r="B421" s="8"/>
      <c r="C421" s="8"/>
      <c r="D421" s="11"/>
      <c r="E421" s="11"/>
      <c r="F421" s="11"/>
      <c r="G421" s="11"/>
      <c r="H421" s="11"/>
      <c r="I421" s="11"/>
      <c r="J421" s="11"/>
      <c r="L421" s="362"/>
    </row>
    <row r="422" spans="1:12" ht="12.75">
      <c r="A422" s="330"/>
      <c r="B422" s="11"/>
      <c r="C422" s="11" t="s">
        <v>18</v>
      </c>
      <c r="D422" s="11"/>
      <c r="E422" s="11"/>
      <c r="F422" s="11"/>
      <c r="G422" s="11"/>
      <c r="H422" s="11"/>
      <c r="I422" s="11"/>
      <c r="J422" s="11"/>
      <c r="L422" s="362"/>
    </row>
    <row r="423" spans="1:12" ht="12.75">
      <c r="A423" s="330"/>
      <c r="B423" s="11"/>
      <c r="C423" s="11" t="s">
        <v>312</v>
      </c>
      <c r="D423" s="11"/>
      <c r="E423" s="11"/>
      <c r="F423" s="11"/>
      <c r="G423" s="332">
        <f>G26</f>
        <v>40456</v>
      </c>
      <c r="H423" s="11" t="s">
        <v>324</v>
      </c>
      <c r="I423" s="11"/>
      <c r="J423" s="11"/>
      <c r="L423" s="362"/>
    </row>
    <row r="424" spans="1:12" ht="12.75">
      <c r="A424" s="330"/>
      <c r="B424" s="11"/>
      <c r="C424" s="11" t="s">
        <v>7</v>
      </c>
      <c r="D424" s="334">
        <v>0.01</v>
      </c>
      <c r="E424" s="11" t="s">
        <v>16</v>
      </c>
      <c r="F424" s="11"/>
      <c r="G424" s="11"/>
      <c r="H424" s="11"/>
      <c r="I424" s="11"/>
      <c r="J424" s="11"/>
      <c r="K424" s="3">
        <f>G423*D424</f>
        <v>404.56</v>
      </c>
      <c r="L424" s="362"/>
    </row>
    <row r="425" spans="1:12" ht="12.75">
      <c r="A425" s="330"/>
      <c r="B425" s="11"/>
      <c r="C425" s="11" t="s">
        <v>9</v>
      </c>
      <c r="D425" s="334">
        <v>0.1</v>
      </c>
      <c r="E425" s="11" t="s">
        <v>10</v>
      </c>
      <c r="F425" s="11"/>
      <c r="G425" s="13"/>
      <c r="H425" s="11"/>
      <c r="I425" s="11"/>
      <c r="J425" s="11"/>
      <c r="K425" s="3">
        <f>K424*D425</f>
        <v>40.456</v>
      </c>
      <c r="L425" s="362"/>
    </row>
    <row r="426" spans="1:12" ht="12.75">
      <c r="A426" s="330"/>
      <c r="B426" s="11"/>
      <c r="C426" s="11"/>
      <c r="D426" s="334">
        <v>0.2</v>
      </c>
      <c r="E426" s="11" t="s">
        <v>11</v>
      </c>
      <c r="F426" s="11"/>
      <c r="G426" s="13"/>
      <c r="H426" s="11"/>
      <c r="I426" s="11"/>
      <c r="J426" s="11"/>
      <c r="K426" s="3">
        <f>K424*D426</f>
        <v>80.912</v>
      </c>
      <c r="L426" s="362"/>
    </row>
    <row r="427" spans="1:12" ht="12.75">
      <c r="A427" s="330"/>
      <c r="B427" s="11"/>
      <c r="C427" s="11"/>
      <c r="D427" s="423"/>
      <c r="E427" s="11"/>
      <c r="F427" s="11"/>
      <c r="G427" s="13"/>
      <c r="H427" s="11"/>
      <c r="I427" s="11"/>
      <c r="J427" s="11"/>
      <c r="L427" s="362"/>
    </row>
    <row r="428" spans="1:12" ht="12.75">
      <c r="A428" s="339"/>
      <c r="B428" s="340"/>
      <c r="C428" s="340"/>
      <c r="D428" s="340"/>
      <c r="E428" s="340"/>
      <c r="F428" s="340"/>
      <c r="G428" s="340"/>
      <c r="H428" s="340"/>
      <c r="I428" s="340"/>
      <c r="J428" s="340"/>
      <c r="K428" s="4"/>
      <c r="L428" s="363"/>
    </row>
    <row r="429" spans="1:12" ht="12.75">
      <c r="A429" s="354"/>
      <c r="B429" s="323"/>
      <c r="C429" s="323"/>
      <c r="D429" s="323"/>
      <c r="E429" s="323"/>
      <c r="F429" s="323"/>
      <c r="G429" s="323"/>
      <c r="H429" s="323"/>
      <c r="I429" s="323"/>
      <c r="J429" s="323"/>
      <c r="K429" s="319"/>
      <c r="L429" s="361"/>
    </row>
    <row r="430" spans="1:12" ht="12.75">
      <c r="A430" s="330"/>
      <c r="B430" s="11"/>
      <c r="C430" s="11" t="s">
        <v>469</v>
      </c>
      <c r="D430" s="11"/>
      <c r="E430" s="11"/>
      <c r="F430" s="11"/>
      <c r="G430" s="11"/>
      <c r="H430" s="11"/>
      <c r="I430" s="424"/>
      <c r="J430" s="336"/>
      <c r="K430" s="3">
        <f>SUM(K414:K428)</f>
        <v>3673.758</v>
      </c>
      <c r="L430" s="362"/>
    </row>
    <row r="431" spans="1:12" ht="12.75">
      <c r="A431" s="330"/>
      <c r="B431" s="11"/>
      <c r="C431" s="11"/>
      <c r="D431" s="11"/>
      <c r="E431" s="11"/>
      <c r="F431" s="11"/>
      <c r="G431" s="11"/>
      <c r="H431" s="11"/>
      <c r="I431" s="11"/>
      <c r="J431" s="336"/>
      <c r="L431" s="362"/>
    </row>
    <row r="432" spans="1:12" ht="12.75">
      <c r="A432" s="330"/>
      <c r="B432" s="11"/>
      <c r="C432" s="11" t="s">
        <v>15</v>
      </c>
      <c r="D432" s="11" t="s">
        <v>139</v>
      </c>
      <c r="E432" s="11"/>
      <c r="F432" s="11"/>
      <c r="G432" s="425"/>
      <c r="H432" s="11"/>
      <c r="I432" s="11"/>
      <c r="J432" s="336"/>
      <c r="K432" s="3">
        <f>K430</f>
        <v>3673.758</v>
      </c>
      <c r="L432" s="362"/>
    </row>
    <row r="433" spans="1:12" ht="25.5" customHeight="1">
      <c r="A433" s="339"/>
      <c r="B433" s="340"/>
      <c r="C433" s="340"/>
      <c r="D433" s="340"/>
      <c r="E433" s="340"/>
      <c r="F433" s="340"/>
      <c r="G433" s="340"/>
      <c r="H433" s="340"/>
      <c r="I433" s="340"/>
      <c r="J433" s="349"/>
      <c r="K433" s="364"/>
      <c r="L433" s="363"/>
    </row>
    <row r="434" spans="1:10" ht="12.75">
      <c r="A434" s="11"/>
      <c r="B434" s="11"/>
      <c r="C434" s="11"/>
      <c r="D434" s="11"/>
      <c r="E434" s="11"/>
      <c r="F434" s="11"/>
      <c r="G434" s="11"/>
      <c r="H434" s="11"/>
      <c r="I434" s="11"/>
      <c r="J434" s="336"/>
    </row>
    <row r="435" spans="1:11" ht="12.75">
      <c r="A435" s="11"/>
      <c r="B435" s="11"/>
      <c r="C435" s="11"/>
      <c r="D435" s="11"/>
      <c r="E435" s="11"/>
      <c r="F435" s="11"/>
      <c r="G435" s="11"/>
      <c r="H435" s="11"/>
      <c r="I435" s="11"/>
      <c r="J435" s="336"/>
      <c r="K435" s="9"/>
    </row>
    <row r="436" spans="1:10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</sheetData>
  <printOptions/>
  <pageMargins left="0.984251968503937" right="0.5118110236220472" top="0.984251968503937" bottom="0.7874015748031497" header="0.5118110236220472" footer="0.5118110236220472"/>
  <pageSetup horizontalDpi="1200" verticalDpi="1200" orientation="portrait" paperSize="9" scale="75" r:id="rId1"/>
  <headerFooter alignWithMargins="0">
    <oddHeader>&amp;CSeite &amp;P von &amp;N</oddHeader>
    <oddFooter>&amp;R&amp;"Arial,Standard"&amp;8&amp;D / &amp;T</oddFooter>
  </headerFooter>
  <rowBreaks count="6" manualBreakCount="6">
    <brk id="67" max="255" man="1"/>
    <brk id="141" max="255" man="1"/>
    <brk id="187" max="255" man="1"/>
    <brk id="246" max="255" man="1"/>
    <brk id="316" max="255" man="1"/>
    <brk id="3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D42" sqref="D42"/>
    </sheetView>
  </sheetViews>
  <sheetFormatPr defaultColWidth="11.421875" defaultRowHeight="12.75"/>
  <cols>
    <col min="1" max="1" width="12.7109375" style="24" customWidth="1"/>
    <col min="2" max="5" width="12.7109375" style="23" customWidth="1"/>
    <col min="6" max="6" width="12.7109375" style="25" customWidth="1"/>
    <col min="7" max="7" width="12.7109375" style="23" customWidth="1"/>
    <col min="8" max="8" width="11.421875" style="23" customWidth="1"/>
    <col min="9" max="9" width="10.00390625" style="23" customWidth="1"/>
    <col min="10" max="10" width="14.00390625" style="23" customWidth="1"/>
    <col min="11" max="16384" width="10.00390625" style="23" customWidth="1"/>
  </cols>
  <sheetData>
    <row r="1" spans="1:7" ht="15" customHeight="1">
      <c r="A1" s="8" t="s">
        <v>299</v>
      </c>
      <c r="B1" s="22"/>
      <c r="C1" s="13"/>
      <c r="D1" s="13"/>
      <c r="E1" s="449"/>
      <c r="F1" s="450"/>
      <c r="G1" s="71"/>
    </row>
    <row r="2" spans="3:7" ht="12" customHeight="1">
      <c r="C2" s="68"/>
      <c r="D2" s="68"/>
      <c r="E2" s="68"/>
      <c r="F2" s="451"/>
      <c r="G2" s="68"/>
    </row>
    <row r="3" spans="1:8" ht="9.75" customHeight="1">
      <c r="A3" s="26" t="s">
        <v>173</v>
      </c>
      <c r="B3" s="27" t="s">
        <v>174</v>
      </c>
      <c r="C3" s="28"/>
      <c r="D3" s="29"/>
      <c r="E3" s="26" t="s">
        <v>175</v>
      </c>
      <c r="F3" s="489" t="s">
        <v>176</v>
      </c>
      <c r="G3" s="490"/>
      <c r="H3" s="30"/>
    </row>
    <row r="4" spans="1:8" ht="9.75" customHeight="1">
      <c r="A4" s="31" t="s">
        <v>177</v>
      </c>
      <c r="B4" s="32"/>
      <c r="C4" s="33"/>
      <c r="D4" s="34"/>
      <c r="E4" s="31" t="s">
        <v>178</v>
      </c>
      <c r="F4" s="35"/>
      <c r="G4" s="36"/>
      <c r="H4" s="37"/>
    </row>
    <row r="5" spans="1:8" ht="9.75" customHeight="1">
      <c r="A5" s="38"/>
      <c r="B5" s="32"/>
      <c r="C5" s="33"/>
      <c r="D5" s="34"/>
      <c r="E5" s="38"/>
      <c r="F5" s="39"/>
      <c r="G5" s="40"/>
      <c r="H5" s="41"/>
    </row>
    <row r="6" spans="1:8" ht="9.75" customHeight="1">
      <c r="A6" s="38"/>
      <c r="B6" s="32"/>
      <c r="C6" s="33"/>
      <c r="D6" s="34"/>
      <c r="E6" s="42" t="s">
        <v>164</v>
      </c>
      <c r="F6" s="43" t="s">
        <v>179</v>
      </c>
      <c r="G6" s="44" t="s">
        <v>164</v>
      </c>
      <c r="H6" s="45"/>
    </row>
    <row r="7" spans="1:8" ht="9.75" customHeight="1">
      <c r="A7" s="46"/>
      <c r="B7" s="47"/>
      <c r="C7" s="48"/>
      <c r="D7" s="49"/>
      <c r="E7" s="50"/>
      <c r="F7" s="50"/>
      <c r="G7" s="51"/>
      <c r="H7" s="52"/>
    </row>
    <row r="8" spans="1:8" s="54" customFormat="1" ht="11.25">
      <c r="A8" s="185"/>
      <c r="B8" s="181" t="s">
        <v>20</v>
      </c>
      <c r="C8" s="182"/>
      <c r="D8" s="182"/>
      <c r="E8" s="183"/>
      <c r="F8" s="183"/>
      <c r="G8" s="184"/>
      <c r="H8" s="53"/>
    </row>
    <row r="9" spans="1:8" ht="9.75" customHeight="1">
      <c r="A9" s="31"/>
      <c r="B9" s="32"/>
      <c r="C9" s="33"/>
      <c r="D9" s="34"/>
      <c r="E9" s="60"/>
      <c r="F9" s="61"/>
      <c r="G9" s="62"/>
      <c r="H9" s="63"/>
    </row>
    <row r="10" spans="1:8" ht="12" customHeight="1">
      <c r="A10" s="31"/>
      <c r="B10" s="55" t="s">
        <v>185</v>
      </c>
      <c r="C10" s="56"/>
      <c r="D10" s="57"/>
      <c r="E10" s="60"/>
      <c r="F10" s="61"/>
      <c r="G10" s="62"/>
      <c r="H10" s="63"/>
    </row>
    <row r="11" spans="1:8" ht="9.75" customHeight="1">
      <c r="A11" s="31" t="s">
        <v>186</v>
      </c>
      <c r="B11" s="59" t="s">
        <v>180</v>
      </c>
      <c r="C11" s="33"/>
      <c r="D11" s="34"/>
      <c r="E11" s="60">
        <v>49592</v>
      </c>
      <c r="F11" s="61">
        <v>0.01</v>
      </c>
      <c r="G11" s="62">
        <f>ROUND(E11*F11,2)</f>
        <v>495.92</v>
      </c>
      <c r="H11" s="63"/>
    </row>
    <row r="12" spans="1:8" ht="9.75" customHeight="1">
      <c r="A12" s="31" t="s">
        <v>182</v>
      </c>
      <c r="B12" s="32" t="s">
        <v>7</v>
      </c>
      <c r="C12" s="33" t="s">
        <v>181</v>
      </c>
      <c r="D12" s="34"/>
      <c r="E12" s="60">
        <f>SUM(E11*0.1)</f>
        <v>4959.200000000001</v>
      </c>
      <c r="F12" s="61">
        <v>0.01</v>
      </c>
      <c r="G12" s="62">
        <f>ROUND(E12*F12,2)</f>
        <v>49.59</v>
      </c>
      <c r="H12" s="63"/>
    </row>
    <row r="13" spans="1:8" ht="9.75" customHeight="1">
      <c r="A13" s="31" t="s">
        <v>182</v>
      </c>
      <c r="B13" s="32"/>
      <c r="C13" s="33" t="s">
        <v>184</v>
      </c>
      <c r="D13" s="34"/>
      <c r="E13" s="60">
        <f>SUM(E11*0.2)</f>
        <v>9918.400000000001</v>
      </c>
      <c r="F13" s="61">
        <v>0.01</v>
      </c>
      <c r="G13" s="62">
        <f>ROUND(E13*F13,2)</f>
        <v>99.18</v>
      </c>
      <c r="H13" s="63"/>
    </row>
    <row r="14" spans="1:8" ht="9.75" customHeight="1">
      <c r="A14" s="38" t="s">
        <v>182</v>
      </c>
      <c r="B14" s="32"/>
      <c r="C14" s="33" t="s">
        <v>183</v>
      </c>
      <c r="D14" s="34"/>
      <c r="E14" s="58">
        <v>2200</v>
      </c>
      <c r="F14" s="65">
        <v>0.01</v>
      </c>
      <c r="G14" s="62">
        <f>ROUND(E14*F14,2)</f>
        <v>22</v>
      </c>
      <c r="H14" s="63"/>
    </row>
    <row r="15" spans="1:8" ht="9.75" customHeight="1">
      <c r="A15" s="38"/>
      <c r="B15" s="32"/>
      <c r="C15" s="33"/>
      <c r="D15" s="34"/>
      <c r="E15" s="58"/>
      <c r="F15" s="65"/>
      <c r="G15" s="62"/>
      <c r="H15" s="63"/>
    </row>
    <row r="16" spans="1:8" ht="12" customHeight="1">
      <c r="A16" s="31"/>
      <c r="B16" s="55" t="s">
        <v>465</v>
      </c>
      <c r="C16" s="56"/>
      <c r="D16" s="57"/>
      <c r="E16" s="60"/>
      <c r="F16" s="61"/>
      <c r="G16" s="62"/>
      <c r="H16" s="63"/>
    </row>
    <row r="17" spans="1:8" ht="9.75" customHeight="1">
      <c r="A17" s="31" t="s">
        <v>186</v>
      </c>
      <c r="B17" s="59" t="s">
        <v>180</v>
      </c>
      <c r="C17" s="33"/>
      <c r="D17" s="34"/>
      <c r="E17" s="60">
        <v>39969</v>
      </c>
      <c r="F17" s="61">
        <v>0.1</v>
      </c>
      <c r="G17" s="62">
        <f>ROUND(E17*F17,2)</f>
        <v>3996.9</v>
      </c>
      <c r="H17" s="63"/>
    </row>
    <row r="18" spans="1:8" ht="9.75" customHeight="1">
      <c r="A18" s="31" t="s">
        <v>182</v>
      </c>
      <c r="B18" s="32" t="s">
        <v>7</v>
      </c>
      <c r="C18" s="33" t="s">
        <v>181</v>
      </c>
      <c r="D18" s="34"/>
      <c r="E18" s="60">
        <f>SUM(E17*0.1)</f>
        <v>3996.9</v>
      </c>
      <c r="F18" s="61">
        <v>0.1</v>
      </c>
      <c r="G18" s="62">
        <f>ROUND(E18*F18,2)</f>
        <v>399.69</v>
      </c>
      <c r="H18" s="63"/>
    </row>
    <row r="19" spans="1:8" ht="9.75" customHeight="1">
      <c r="A19" s="31" t="s">
        <v>182</v>
      </c>
      <c r="B19" s="32"/>
      <c r="C19" s="33" t="s">
        <v>184</v>
      </c>
      <c r="D19" s="34"/>
      <c r="E19" s="60">
        <f>SUM(E17*0.2)</f>
        <v>7993.8</v>
      </c>
      <c r="F19" s="61">
        <v>0.1</v>
      </c>
      <c r="G19" s="62">
        <f>ROUND(E19*F19,2)</f>
        <v>799.38</v>
      </c>
      <c r="H19" s="63"/>
    </row>
    <row r="20" spans="1:8" ht="9.75" customHeight="1">
      <c r="A20" s="31" t="s">
        <v>182</v>
      </c>
      <c r="B20" s="32"/>
      <c r="C20" s="33" t="s">
        <v>183</v>
      </c>
      <c r="D20" s="34"/>
      <c r="E20" s="60">
        <v>2200</v>
      </c>
      <c r="F20" s="61">
        <v>0.1</v>
      </c>
      <c r="G20" s="62">
        <f>ROUND(E20*F20,2)</f>
        <v>220</v>
      </c>
      <c r="H20" s="63"/>
    </row>
    <row r="21" spans="1:8" ht="9.75" customHeight="1">
      <c r="A21" s="31"/>
      <c r="B21" s="32"/>
      <c r="C21" s="33"/>
      <c r="D21" s="34"/>
      <c r="E21" s="60"/>
      <c r="F21" s="61"/>
      <c r="G21" s="62"/>
      <c r="H21" s="63"/>
    </row>
    <row r="22" spans="1:8" ht="9.75" customHeight="1">
      <c r="A22" s="31"/>
      <c r="B22" s="55" t="s">
        <v>465</v>
      </c>
      <c r="C22" s="56"/>
      <c r="D22" s="57"/>
      <c r="E22" s="60"/>
      <c r="F22" s="61"/>
      <c r="G22" s="62"/>
      <c r="H22" s="63"/>
    </row>
    <row r="23" spans="1:8" ht="9.75" customHeight="1">
      <c r="A23" s="31" t="s">
        <v>186</v>
      </c>
      <c r="B23" s="59" t="s">
        <v>180</v>
      </c>
      <c r="C23" s="33"/>
      <c r="D23" s="34"/>
      <c r="E23" s="60">
        <v>37315</v>
      </c>
      <c r="F23" s="61">
        <v>0.1</v>
      </c>
      <c r="G23" s="62">
        <f>ROUND(E23*F23,2)</f>
        <v>3731.5</v>
      </c>
      <c r="H23" s="63"/>
    </row>
    <row r="24" spans="1:8" ht="9.75" customHeight="1">
      <c r="A24" s="31" t="s">
        <v>182</v>
      </c>
      <c r="B24" s="32" t="s">
        <v>7</v>
      </c>
      <c r="C24" s="33" t="s">
        <v>181</v>
      </c>
      <c r="D24" s="34"/>
      <c r="E24" s="60">
        <f>SUM(E23*0.1)</f>
        <v>3731.5</v>
      </c>
      <c r="F24" s="61">
        <v>0.1</v>
      </c>
      <c r="G24" s="62">
        <f>ROUND(E24*F24,2)</f>
        <v>373.15</v>
      </c>
      <c r="H24" s="63"/>
    </row>
    <row r="25" spans="1:8" ht="9.75" customHeight="1">
      <c r="A25" s="31" t="s">
        <v>182</v>
      </c>
      <c r="B25" s="32"/>
      <c r="C25" s="33" t="s">
        <v>184</v>
      </c>
      <c r="D25" s="34"/>
      <c r="E25" s="60">
        <f>SUM(E23*0.2)</f>
        <v>7463</v>
      </c>
      <c r="F25" s="61">
        <v>0.1</v>
      </c>
      <c r="G25" s="62">
        <f>ROUND(E25*F25,2)</f>
        <v>746.3</v>
      </c>
      <c r="H25" s="63"/>
    </row>
    <row r="26" spans="1:8" ht="9.75" customHeight="1">
      <c r="A26" s="31" t="s">
        <v>182</v>
      </c>
      <c r="B26" s="32"/>
      <c r="C26" s="33" t="s">
        <v>183</v>
      </c>
      <c r="D26" s="34"/>
      <c r="E26" s="60">
        <v>2200</v>
      </c>
      <c r="F26" s="61">
        <v>0.1</v>
      </c>
      <c r="G26" s="62">
        <f>ROUND(E26*F26,2)</f>
        <v>220</v>
      </c>
      <c r="H26" s="63"/>
    </row>
    <row r="27" spans="1:8" ht="9.75" customHeight="1">
      <c r="A27" s="31"/>
      <c r="B27" s="32"/>
      <c r="C27" s="33"/>
      <c r="D27" s="34"/>
      <c r="E27" s="60"/>
      <c r="F27" s="61"/>
      <c r="G27" s="62"/>
      <c r="H27" s="63"/>
    </row>
    <row r="28" spans="1:8" ht="12" customHeight="1">
      <c r="A28" s="31"/>
      <c r="B28" s="55" t="s">
        <v>466</v>
      </c>
      <c r="C28" s="56"/>
      <c r="D28" s="57"/>
      <c r="E28" s="60"/>
      <c r="F28" s="61"/>
      <c r="G28" s="62"/>
      <c r="H28" s="63"/>
    </row>
    <row r="29" spans="1:8" ht="9.75" customHeight="1">
      <c r="A29" s="31" t="s">
        <v>186</v>
      </c>
      <c r="B29" s="59" t="s">
        <v>180</v>
      </c>
      <c r="C29" s="33"/>
      <c r="D29" s="34"/>
      <c r="E29" s="60">
        <v>38093</v>
      </c>
      <c r="F29" s="61">
        <v>0.25</v>
      </c>
      <c r="G29" s="62">
        <f>ROUND(E29*F29,2)</f>
        <v>9523.25</v>
      </c>
      <c r="H29" s="63"/>
    </row>
    <row r="30" spans="1:8" ht="9.75" customHeight="1">
      <c r="A30" s="31" t="s">
        <v>182</v>
      </c>
      <c r="B30" s="32" t="s">
        <v>7</v>
      </c>
      <c r="C30" s="33" t="s">
        <v>181</v>
      </c>
      <c r="D30" s="34"/>
      <c r="E30" s="60">
        <f>SUM(E29*0.1)</f>
        <v>3809.3</v>
      </c>
      <c r="F30" s="61">
        <v>0.25</v>
      </c>
      <c r="G30" s="62">
        <f>ROUND(E30*F30,2)</f>
        <v>952.33</v>
      </c>
      <c r="H30" s="63"/>
    </row>
    <row r="31" spans="1:8" ht="9.75" customHeight="1">
      <c r="A31" s="31" t="s">
        <v>182</v>
      </c>
      <c r="B31" s="404"/>
      <c r="C31" s="33" t="s">
        <v>184</v>
      </c>
      <c r="D31" s="34"/>
      <c r="E31" s="60">
        <f>SUM(E29*0.2)</f>
        <v>7618.6</v>
      </c>
      <c r="F31" s="61">
        <v>0.25</v>
      </c>
      <c r="G31" s="62">
        <f>ROUND(E31*F31,2)</f>
        <v>1904.65</v>
      </c>
      <c r="H31" s="63"/>
    </row>
    <row r="32" spans="1:8" ht="9.75" customHeight="1">
      <c r="A32" s="31" t="s">
        <v>182</v>
      </c>
      <c r="B32" s="404"/>
      <c r="C32" s="33" t="s">
        <v>183</v>
      </c>
      <c r="D32" s="34"/>
      <c r="E32" s="60">
        <v>2200</v>
      </c>
      <c r="F32" s="61">
        <v>0.25</v>
      </c>
      <c r="G32" s="62">
        <f>ROUND(E32*F32,2)</f>
        <v>550</v>
      </c>
      <c r="H32" s="63"/>
    </row>
    <row r="33" spans="1:8" ht="9.75" customHeight="1">
      <c r="A33" s="31"/>
      <c r="B33" s="32"/>
      <c r="C33" s="33"/>
      <c r="D33" s="34"/>
      <c r="E33" s="60"/>
      <c r="F33" s="61"/>
      <c r="G33" s="62"/>
      <c r="H33" s="63"/>
    </row>
    <row r="34" spans="1:10" ht="12" customHeight="1">
      <c r="A34" s="31"/>
      <c r="B34" s="55" t="s">
        <v>301</v>
      </c>
      <c r="C34" s="56"/>
      <c r="D34" s="57"/>
      <c r="E34" s="60"/>
      <c r="F34" s="61"/>
      <c r="G34" s="62"/>
      <c r="H34" s="63"/>
      <c r="J34" s="66"/>
    </row>
    <row r="35" spans="1:8" ht="9.75" customHeight="1">
      <c r="A35" s="31" t="s">
        <v>187</v>
      </c>
      <c r="B35" s="59" t="s">
        <v>180</v>
      </c>
      <c r="C35" s="33"/>
      <c r="D35" s="34"/>
      <c r="E35" s="60">
        <v>35166</v>
      </c>
      <c r="F35" s="61">
        <v>0.06</v>
      </c>
      <c r="G35" s="62">
        <f>ROUND(E35*F35,2)</f>
        <v>2109.96</v>
      </c>
      <c r="H35" s="63"/>
    </row>
    <row r="36" spans="1:8" ht="9.75" customHeight="1">
      <c r="A36" s="31" t="s">
        <v>182</v>
      </c>
      <c r="B36" s="32" t="s">
        <v>7</v>
      </c>
      <c r="C36" s="33" t="s">
        <v>181</v>
      </c>
      <c r="D36" s="34"/>
      <c r="E36" s="60">
        <f>SUM(E35*0.1)</f>
        <v>3516.6000000000004</v>
      </c>
      <c r="F36" s="61">
        <f>F35</f>
        <v>0.06</v>
      </c>
      <c r="G36" s="62">
        <f>ROUND(E36*F36,2)</f>
        <v>211</v>
      </c>
      <c r="H36" s="63"/>
    </row>
    <row r="37" spans="1:8" ht="9.75" customHeight="1">
      <c r="A37" s="31" t="s">
        <v>182</v>
      </c>
      <c r="B37" s="404"/>
      <c r="C37" s="33" t="s">
        <v>184</v>
      </c>
      <c r="D37" s="34"/>
      <c r="E37" s="60">
        <f>SUM(E35*0.2)</f>
        <v>7033.200000000001</v>
      </c>
      <c r="F37" s="61">
        <f>F35</f>
        <v>0.06</v>
      </c>
      <c r="G37" s="62">
        <f>ROUND(E37*F37,2)</f>
        <v>421.99</v>
      </c>
      <c r="H37" s="63"/>
    </row>
    <row r="38" spans="1:8" ht="9.75" customHeight="1">
      <c r="A38" s="31" t="s">
        <v>182</v>
      </c>
      <c r="B38" s="404"/>
      <c r="C38" s="33" t="s">
        <v>183</v>
      </c>
      <c r="D38" s="34"/>
      <c r="E38" s="60">
        <v>2200</v>
      </c>
      <c r="F38" s="61">
        <f>F35</f>
        <v>0.06</v>
      </c>
      <c r="G38" s="62">
        <f>ROUND(E38*F38,2)</f>
        <v>132</v>
      </c>
      <c r="H38" s="63"/>
    </row>
    <row r="39" spans="1:8" ht="9.75" customHeight="1">
      <c r="A39" s="31"/>
      <c r="B39" s="32"/>
      <c r="C39" s="33"/>
      <c r="D39" s="34"/>
      <c r="E39" s="60"/>
      <c r="F39" s="61"/>
      <c r="G39" s="62"/>
      <c r="H39" s="63"/>
    </row>
    <row r="40" spans="1:8" ht="12" customHeight="1">
      <c r="A40" s="31"/>
      <c r="B40" s="55" t="s">
        <v>471</v>
      </c>
      <c r="C40" s="56"/>
      <c r="D40" s="57"/>
      <c r="E40" s="60"/>
      <c r="F40" s="61"/>
      <c r="G40" s="62"/>
      <c r="H40" s="63"/>
    </row>
    <row r="41" spans="1:8" ht="12" customHeight="1">
      <c r="A41" s="31">
        <v>60000</v>
      </c>
      <c r="B41" s="59" t="s">
        <v>180</v>
      </c>
      <c r="C41" s="56"/>
      <c r="D41" s="57"/>
      <c r="E41" s="60">
        <v>38480</v>
      </c>
      <c r="F41" s="61">
        <v>0.2</v>
      </c>
      <c r="G41" s="62">
        <f>ROUND(E41*F41,2)</f>
        <v>7696</v>
      </c>
      <c r="H41" s="63"/>
    </row>
    <row r="42" spans="1:8" ht="9.75" customHeight="1">
      <c r="A42" s="216" t="s">
        <v>182</v>
      </c>
      <c r="B42" s="32" t="s">
        <v>7</v>
      </c>
      <c r="C42" s="33" t="s">
        <v>181</v>
      </c>
      <c r="D42" s="34"/>
      <c r="E42" s="60">
        <f>SUM(E41*0.1)</f>
        <v>3848</v>
      </c>
      <c r="F42" s="61">
        <v>0.2</v>
      </c>
      <c r="G42" s="62">
        <f>ROUND(E42*F42,2)</f>
        <v>769.6</v>
      </c>
      <c r="H42" s="63"/>
    </row>
    <row r="43" spans="1:8" ht="9.75" customHeight="1">
      <c r="A43" s="31" t="s">
        <v>182</v>
      </c>
      <c r="B43" s="404"/>
      <c r="C43" s="33" t="s">
        <v>184</v>
      </c>
      <c r="D43" s="34"/>
      <c r="E43" s="60">
        <f>SUM(E41*0.2)</f>
        <v>7696</v>
      </c>
      <c r="F43" s="61">
        <v>0.2</v>
      </c>
      <c r="G43" s="62">
        <f>ROUND(E43*F43,2)</f>
        <v>1539.2</v>
      </c>
      <c r="H43" s="63"/>
    </row>
    <row r="44" spans="1:8" ht="9.75" customHeight="1">
      <c r="A44" s="31" t="s">
        <v>182</v>
      </c>
      <c r="B44" s="404"/>
      <c r="C44" s="33" t="s">
        <v>183</v>
      </c>
      <c r="D44" s="34"/>
      <c r="E44" s="60">
        <v>2200</v>
      </c>
      <c r="F44" s="61">
        <v>0.2</v>
      </c>
      <c r="G44" s="62">
        <f>ROUND(E44*F44,2)</f>
        <v>440</v>
      </c>
      <c r="H44" s="63"/>
    </row>
    <row r="45" spans="1:8" ht="9.75" customHeight="1">
      <c r="A45" s="31"/>
      <c r="B45" s="32"/>
      <c r="C45" s="33"/>
      <c r="D45" s="34"/>
      <c r="E45" s="60"/>
      <c r="F45" s="61"/>
      <c r="G45" s="62"/>
      <c r="H45" s="63"/>
    </row>
    <row r="46" spans="1:8" ht="9.75" customHeight="1">
      <c r="A46" s="185"/>
      <c r="B46" s="181" t="s">
        <v>298</v>
      </c>
      <c r="C46" s="182"/>
      <c r="D46" s="182"/>
      <c r="E46" s="183"/>
      <c r="F46" s="183"/>
      <c r="G46" s="184"/>
      <c r="H46" s="63"/>
    </row>
    <row r="47" spans="1:8" ht="9.75" customHeight="1">
      <c r="A47" s="31" t="s">
        <v>182</v>
      </c>
      <c r="B47" s="32"/>
      <c r="C47" s="33"/>
      <c r="D47" s="33"/>
      <c r="E47" s="21"/>
      <c r="F47" s="186"/>
      <c r="G47" s="62">
        <v>2300</v>
      </c>
      <c r="H47" s="63"/>
    </row>
    <row r="48" spans="1:8" s="68" customFormat="1" ht="13.5" customHeight="1">
      <c r="A48" s="187"/>
      <c r="B48" s="188" t="s">
        <v>188</v>
      </c>
      <c r="C48" s="189"/>
      <c r="D48" s="189"/>
      <c r="E48" s="191"/>
      <c r="F48" s="190"/>
      <c r="G48" s="191">
        <f>SUM(G9:G47)</f>
        <v>39703.590000000004</v>
      </c>
      <c r="H48" s="63"/>
    </row>
    <row r="49" spans="1:8" ht="13.5" customHeight="1">
      <c r="A49" s="69"/>
      <c r="B49" s="70"/>
      <c r="C49" s="71"/>
      <c r="D49" s="71"/>
      <c r="E49" s="72"/>
      <c r="F49" s="73"/>
      <c r="G49" s="74"/>
      <c r="H49" s="74"/>
    </row>
    <row r="50" spans="1:8" ht="19.5" customHeight="1">
      <c r="A50" s="69"/>
      <c r="B50" s="70"/>
      <c r="C50" s="71"/>
      <c r="D50" s="71"/>
      <c r="E50" s="72"/>
      <c r="F50" s="73"/>
      <c r="G50" s="74"/>
      <c r="H50" s="74"/>
    </row>
    <row r="51" spans="1:8" ht="15" customHeight="1">
      <c r="A51" s="192" t="s">
        <v>189</v>
      </c>
      <c r="B51" s="193"/>
      <c r="C51" s="194"/>
      <c r="D51" s="194"/>
      <c r="E51" s="195"/>
      <c r="F51" s="196"/>
      <c r="G51" s="197"/>
      <c r="H51" s="74"/>
    </row>
    <row r="52" spans="1:8" ht="18" customHeight="1">
      <c r="A52" s="78" t="s">
        <v>190</v>
      </c>
      <c r="B52" s="491" t="s">
        <v>191</v>
      </c>
      <c r="C52" s="491"/>
      <c r="D52" s="491"/>
      <c r="E52" s="492" t="s">
        <v>192</v>
      </c>
      <c r="F52" s="492"/>
      <c r="G52" s="492"/>
      <c r="H52" s="74"/>
    </row>
    <row r="53" spans="1:8" ht="13.5" customHeight="1">
      <c r="A53" s="79"/>
      <c r="B53" s="80" t="s">
        <v>193</v>
      </c>
      <c r="C53" s="81" t="s">
        <v>194</v>
      </c>
      <c r="D53" s="81" t="s">
        <v>195</v>
      </c>
      <c r="E53" s="82" t="s">
        <v>193</v>
      </c>
      <c r="F53" s="83" t="s">
        <v>194</v>
      </c>
      <c r="G53" s="84" t="s">
        <v>196</v>
      </c>
      <c r="H53" s="74"/>
    </row>
    <row r="54" spans="1:8" ht="12" customHeight="1">
      <c r="A54" s="85"/>
      <c r="B54" s="86"/>
      <c r="C54" s="87">
        <v>0.0074</v>
      </c>
      <c r="D54" s="87">
        <v>0.9926</v>
      </c>
      <c r="E54" s="88"/>
      <c r="F54" s="89">
        <v>0.0044</v>
      </c>
      <c r="G54" s="90">
        <v>0.9956</v>
      </c>
      <c r="H54" s="74"/>
    </row>
    <row r="55" spans="1:8" ht="13.5" customHeight="1">
      <c r="A55" s="91"/>
      <c r="B55" s="92"/>
      <c r="C55" s="93"/>
      <c r="D55" s="93"/>
      <c r="E55" s="94"/>
      <c r="F55" s="95"/>
      <c r="G55" s="96"/>
      <c r="H55" s="74"/>
    </row>
    <row r="56" spans="1:8" ht="13.5" customHeight="1">
      <c r="A56" s="201">
        <f>G48</f>
        <v>39703.590000000004</v>
      </c>
      <c r="B56" s="201">
        <f>ROUND(A56*90%,2)</f>
        <v>35733.23</v>
      </c>
      <c r="C56" s="198">
        <f>ROUND(B56*C54,2)</f>
        <v>264.43</v>
      </c>
      <c r="D56" s="198">
        <f>ROUND(B56*D54,2)</f>
        <v>35468.8</v>
      </c>
      <c r="E56" s="201">
        <f>ROUND(A56*10%,2)</f>
        <v>3970.36</v>
      </c>
      <c r="F56" s="199">
        <f>ROUND(E56*F54,2)</f>
        <v>17.47</v>
      </c>
      <c r="G56" s="200">
        <f>ROUND(E56*G54,2)</f>
        <v>3952.89</v>
      </c>
      <c r="H56" s="74"/>
    </row>
    <row r="57" spans="1:8" ht="13.5" customHeight="1">
      <c r="A57" s="97"/>
      <c r="B57" s="98"/>
      <c r="C57" s="99"/>
      <c r="D57" s="99"/>
      <c r="E57" s="100"/>
      <c r="F57" s="101"/>
      <c r="G57" s="102"/>
      <c r="H57" s="74"/>
    </row>
    <row r="58" spans="1:8" ht="13.5" customHeight="1">
      <c r="A58" s="69"/>
      <c r="B58" s="70"/>
      <c r="C58" s="71"/>
      <c r="D58" s="71"/>
      <c r="E58" s="103"/>
      <c r="F58" s="73"/>
      <c r="G58" s="74"/>
      <c r="H58" s="74"/>
    </row>
    <row r="59" spans="1:8" ht="13.5" customHeight="1">
      <c r="A59" s="20" t="s">
        <v>302</v>
      </c>
      <c r="B59" s="104"/>
      <c r="C59" s="71"/>
      <c r="D59" s="71"/>
      <c r="E59" s="103"/>
      <c r="F59" s="73"/>
      <c r="G59" s="74"/>
      <c r="H59" s="74"/>
    </row>
    <row r="60" ht="8.25">
      <c r="F60" s="105"/>
    </row>
  </sheetData>
  <mergeCells count="3">
    <mergeCell ref="F3:G3"/>
    <mergeCell ref="B52:D52"/>
    <mergeCell ref="E52:G52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scale="99" r:id="rId1"/>
  <headerFooter alignWithMargins="0">
    <oddHeader>&amp;L&amp;"Arial,Standard"Anlage 1 zur Gebührenbedarfsberechnung 2006 lt. BV ........ UA Straßenreinigung</oddHeader>
    <oddFooter>&amp;R&amp;8&amp;D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F25" sqref="F25"/>
    </sheetView>
  </sheetViews>
  <sheetFormatPr defaultColWidth="11.421875" defaultRowHeight="12.75"/>
  <cols>
    <col min="1" max="1" width="10.7109375" style="254" customWidth="1"/>
    <col min="2" max="2" width="6.7109375" style="254" customWidth="1"/>
    <col min="3" max="5" width="16.7109375" style="254" customWidth="1"/>
    <col min="6" max="6" width="16.7109375" style="269" customWidth="1"/>
    <col min="7" max="7" width="15.57421875" style="254" customWidth="1"/>
    <col min="8" max="16384" width="10.00390625" style="254" customWidth="1"/>
  </cols>
  <sheetData>
    <row r="1" spans="1:2" ht="12.75">
      <c r="A1" s="303" t="s">
        <v>417</v>
      </c>
      <c r="B1" s="303"/>
    </row>
    <row r="2" ht="11.25">
      <c r="C2" s="291"/>
    </row>
    <row r="3" spans="1:6" ht="11.25">
      <c r="A3" s="285" t="s">
        <v>77</v>
      </c>
      <c r="B3" s="286" t="s">
        <v>419</v>
      </c>
      <c r="D3" s="287"/>
      <c r="E3" s="288"/>
      <c r="F3" s="452">
        <v>25100</v>
      </c>
    </row>
    <row r="4" spans="1:6" ht="11.25">
      <c r="A4" s="255"/>
      <c r="B4" s="261" t="s">
        <v>482</v>
      </c>
      <c r="D4" s="261"/>
      <c r="E4" s="270"/>
      <c r="F4" s="267"/>
    </row>
    <row r="5" spans="1:6" ht="11.25">
      <c r="A5" s="277" t="s">
        <v>274</v>
      </c>
      <c r="B5" s="278" t="s">
        <v>74</v>
      </c>
      <c r="D5" s="261"/>
      <c r="E5" s="270"/>
      <c r="F5" s="267">
        <v>8500</v>
      </c>
    </row>
    <row r="6" spans="1:6" ht="11.25">
      <c r="A6" s="277" t="s">
        <v>75</v>
      </c>
      <c r="B6" s="278" t="s">
        <v>76</v>
      </c>
      <c r="D6" s="261"/>
      <c r="E6" s="270"/>
      <c r="F6" s="267">
        <v>12000</v>
      </c>
    </row>
    <row r="7" spans="1:6" ht="11.25">
      <c r="A7" s="277" t="s">
        <v>77</v>
      </c>
      <c r="B7" s="278" t="s">
        <v>399</v>
      </c>
      <c r="D7" s="261"/>
      <c r="E7" s="270"/>
      <c r="F7" s="267">
        <v>300</v>
      </c>
    </row>
    <row r="8" spans="1:6" ht="11.25">
      <c r="A8" s="277" t="s">
        <v>79</v>
      </c>
      <c r="B8" s="278" t="s">
        <v>400</v>
      </c>
      <c r="D8" s="261"/>
      <c r="E8" s="270"/>
      <c r="F8" s="267">
        <v>600</v>
      </c>
    </row>
    <row r="9" spans="1:6" ht="11.25">
      <c r="A9" s="277" t="s">
        <v>80</v>
      </c>
      <c r="B9" s="278" t="s">
        <v>418</v>
      </c>
      <c r="D9" s="261"/>
      <c r="E9" s="270"/>
      <c r="F9" s="267">
        <v>25000</v>
      </c>
    </row>
    <row r="10" spans="1:6" ht="11.25">
      <c r="A10" s="255"/>
      <c r="B10" s="261" t="s">
        <v>401</v>
      </c>
      <c r="D10" s="261"/>
      <c r="E10" s="270"/>
      <c r="F10" s="267"/>
    </row>
    <row r="11" spans="1:6" ht="11.25">
      <c r="A11" s="277" t="s">
        <v>5</v>
      </c>
      <c r="B11" s="278" t="s">
        <v>402</v>
      </c>
      <c r="D11" s="261"/>
      <c r="E11" s="270"/>
      <c r="F11" s="267">
        <f>SUM(E16:E46)</f>
        <v>48189.4</v>
      </c>
    </row>
    <row r="12" spans="1:6" ht="11.25">
      <c r="A12" s="277"/>
      <c r="B12" s="266"/>
      <c r="C12" s="278"/>
      <c r="D12" s="261"/>
      <c r="E12" s="270"/>
      <c r="F12" s="267"/>
    </row>
    <row r="13" spans="1:6" ht="16.5" customHeight="1">
      <c r="A13" s="382" t="s">
        <v>459</v>
      </c>
      <c r="B13" s="304"/>
      <c r="C13" s="292" t="s">
        <v>395</v>
      </c>
      <c r="D13" s="293" t="s">
        <v>396</v>
      </c>
      <c r="E13" s="294" t="s">
        <v>413</v>
      </c>
      <c r="F13" s="383"/>
    </row>
    <row r="14" spans="1:6" ht="11.25">
      <c r="A14" s="256" t="s">
        <v>404</v>
      </c>
      <c r="B14" s="257"/>
      <c r="C14" s="257"/>
      <c r="D14" s="268"/>
      <c r="E14" s="262"/>
      <c r="F14" s="383"/>
    </row>
    <row r="15" spans="1:6" ht="11.25">
      <c r="A15" s="265"/>
      <c r="E15" s="263"/>
      <c r="F15" s="383"/>
    </row>
    <row r="16" spans="1:6" ht="11.25">
      <c r="A16" s="255" t="s">
        <v>403</v>
      </c>
      <c r="B16" s="269"/>
      <c r="C16" s="279">
        <v>1710</v>
      </c>
      <c r="D16" s="453">
        <v>20.24</v>
      </c>
      <c r="E16" s="259">
        <f>ROUND(C16*D16,2)</f>
        <v>34610.4</v>
      </c>
      <c r="F16" s="383"/>
    </row>
    <row r="17" spans="1:6" ht="11.25">
      <c r="A17" s="255"/>
      <c r="B17" s="261" t="s">
        <v>15</v>
      </c>
      <c r="C17" s="254" t="s">
        <v>10</v>
      </c>
      <c r="D17" s="283">
        <v>0.1</v>
      </c>
      <c r="E17" s="259">
        <f>ROUND(E16*D17,2)</f>
        <v>3461.04</v>
      </c>
      <c r="F17" s="383"/>
    </row>
    <row r="18" spans="1:6" ht="11.25">
      <c r="A18" s="255"/>
      <c r="C18" s="261" t="s">
        <v>11</v>
      </c>
      <c r="D18" s="284">
        <v>0.15</v>
      </c>
      <c r="E18" s="259">
        <f>ROUND(E16*D18,2)</f>
        <v>5191.56</v>
      </c>
      <c r="F18" s="383"/>
    </row>
    <row r="19" spans="1:6" ht="11.25">
      <c r="A19" s="255"/>
      <c r="D19" s="270"/>
      <c r="E19" s="260"/>
      <c r="F19" s="383"/>
    </row>
    <row r="20" spans="1:6" ht="11.25">
      <c r="A20" s="256" t="s">
        <v>405</v>
      </c>
      <c r="B20" s="257"/>
      <c r="C20" s="257"/>
      <c r="D20" s="268"/>
      <c r="E20" s="262"/>
      <c r="F20" s="383"/>
    </row>
    <row r="21" spans="1:6" ht="11.25">
      <c r="A21" s="280"/>
      <c r="B21" s="264"/>
      <c r="C21" s="264"/>
      <c r="D21" s="282"/>
      <c r="E21" s="281"/>
      <c r="F21" s="383"/>
    </row>
    <row r="22" spans="1:6" ht="11.25">
      <c r="A22" s="255" t="s">
        <v>397</v>
      </c>
      <c r="B22" s="269"/>
      <c r="C22" s="279">
        <v>55</v>
      </c>
      <c r="D22" s="453">
        <v>19.92</v>
      </c>
      <c r="E22" s="259">
        <f>ROUND(C22*D22,2)</f>
        <v>1095.6</v>
      </c>
      <c r="F22" s="383"/>
    </row>
    <row r="23" spans="1:6" ht="11.25">
      <c r="A23" s="255"/>
      <c r="B23" s="261" t="s">
        <v>15</v>
      </c>
      <c r="C23" s="254" t="s">
        <v>10</v>
      </c>
      <c r="D23" s="283">
        <v>0.1</v>
      </c>
      <c r="E23" s="259">
        <f>ROUND(E22*D23,2)</f>
        <v>109.56</v>
      </c>
      <c r="F23" s="383"/>
    </row>
    <row r="24" spans="1:6" ht="11.25">
      <c r="A24" s="255"/>
      <c r="C24" s="261" t="s">
        <v>11</v>
      </c>
      <c r="D24" s="284">
        <v>0.15</v>
      </c>
      <c r="E24" s="259">
        <f>ROUND(E22*D24,2)</f>
        <v>164.34</v>
      </c>
      <c r="F24" s="383"/>
    </row>
    <row r="25" spans="1:6" ht="11.25">
      <c r="A25" s="255"/>
      <c r="D25" s="270"/>
      <c r="E25" s="260"/>
      <c r="F25" s="383"/>
    </row>
    <row r="26" spans="1:6" ht="11.25">
      <c r="A26" s="256" t="s">
        <v>406</v>
      </c>
      <c r="B26" s="257"/>
      <c r="C26" s="257"/>
      <c r="D26" s="268"/>
      <c r="E26" s="262"/>
      <c r="F26" s="383"/>
    </row>
    <row r="27" spans="1:6" ht="11.25">
      <c r="A27" s="280"/>
      <c r="B27" s="264"/>
      <c r="C27" s="264"/>
      <c r="D27" s="282"/>
      <c r="E27" s="281"/>
      <c r="F27" s="383"/>
    </row>
    <row r="28" spans="1:6" ht="11.25">
      <c r="A28" s="255"/>
      <c r="B28" s="254">
        <v>360</v>
      </c>
      <c r="C28" s="269" t="s">
        <v>87</v>
      </c>
      <c r="D28" s="453">
        <v>2.33</v>
      </c>
      <c r="E28" s="259">
        <f>B28*D28</f>
        <v>838.8000000000001</v>
      </c>
      <c r="F28" s="383"/>
    </row>
    <row r="29" spans="1:6" ht="11.25">
      <c r="A29" s="255"/>
      <c r="B29" s="261"/>
      <c r="D29" s="283"/>
      <c r="E29" s="259"/>
      <c r="F29" s="383"/>
    </row>
    <row r="30" spans="1:6" ht="11.25">
      <c r="A30" s="277" t="s">
        <v>407</v>
      </c>
      <c r="B30" s="261"/>
      <c r="D30" s="283"/>
      <c r="E30" s="259"/>
      <c r="F30" s="383"/>
    </row>
    <row r="31" spans="1:6" ht="11.25">
      <c r="A31" s="256" t="s">
        <v>408</v>
      </c>
      <c r="B31" s="257"/>
      <c r="C31" s="257"/>
      <c r="D31" s="268"/>
      <c r="E31" s="262"/>
      <c r="F31" s="383"/>
    </row>
    <row r="32" spans="1:6" ht="11.25">
      <c r="A32" s="265"/>
      <c r="E32" s="263"/>
      <c r="F32" s="383"/>
    </row>
    <row r="33" spans="1:6" ht="11.25">
      <c r="A33" s="255" t="s">
        <v>397</v>
      </c>
      <c r="B33" s="269"/>
      <c r="C33" s="279">
        <v>70</v>
      </c>
      <c r="D33" s="453">
        <v>19.92</v>
      </c>
      <c r="E33" s="259">
        <f>ROUND(C33*D33,2)</f>
        <v>1394.4</v>
      </c>
      <c r="F33" s="383"/>
    </row>
    <row r="34" spans="1:6" ht="11.25">
      <c r="A34" s="255"/>
      <c r="B34" s="261" t="s">
        <v>15</v>
      </c>
      <c r="C34" s="254" t="s">
        <v>10</v>
      </c>
      <c r="D34" s="283">
        <v>0.1</v>
      </c>
      <c r="E34" s="259">
        <f>ROUND(E33*D34,2)</f>
        <v>139.44</v>
      </c>
      <c r="F34" s="383"/>
    </row>
    <row r="35" spans="1:6" ht="11.25">
      <c r="A35" s="255"/>
      <c r="C35" s="261" t="s">
        <v>11</v>
      </c>
      <c r="D35" s="284">
        <v>0.15</v>
      </c>
      <c r="E35" s="259">
        <f>ROUND(E33*D35,2)</f>
        <v>209.16</v>
      </c>
      <c r="F35" s="383"/>
    </row>
    <row r="36" spans="1:6" ht="11.25">
      <c r="A36" s="255"/>
      <c r="D36" s="270"/>
      <c r="E36" s="260"/>
      <c r="F36" s="383"/>
    </row>
    <row r="37" spans="1:6" ht="11.25">
      <c r="A37" s="256" t="s">
        <v>409</v>
      </c>
      <c r="B37" s="257"/>
      <c r="C37" s="257"/>
      <c r="D37" s="268"/>
      <c r="E37" s="262"/>
      <c r="F37" s="383"/>
    </row>
    <row r="38" spans="1:6" ht="11.25">
      <c r="A38" s="265"/>
      <c r="E38" s="263"/>
      <c r="F38" s="383"/>
    </row>
    <row r="39" spans="1:6" ht="11.25">
      <c r="A39" s="255" t="s">
        <v>410</v>
      </c>
      <c r="B39" s="269"/>
      <c r="C39" s="279">
        <v>4</v>
      </c>
      <c r="D39" s="453">
        <v>18.34</v>
      </c>
      <c r="E39" s="259">
        <f>ROUND(C39*D39,2)</f>
        <v>73.36</v>
      </c>
      <c r="F39" s="383"/>
    </row>
    <row r="40" spans="1:6" ht="11.25">
      <c r="A40" s="255"/>
      <c r="B40" s="261" t="s">
        <v>15</v>
      </c>
      <c r="C40" s="254" t="s">
        <v>10</v>
      </c>
      <c r="D40" s="283">
        <v>0.1</v>
      </c>
      <c r="E40" s="259">
        <f>ROUND(E39*D40,2)</f>
        <v>7.34</v>
      </c>
      <c r="F40" s="383"/>
    </row>
    <row r="41" spans="1:6" ht="11.25">
      <c r="A41" s="255"/>
      <c r="C41" s="261" t="s">
        <v>11</v>
      </c>
      <c r="D41" s="284">
        <v>0.15</v>
      </c>
      <c r="E41" s="259">
        <f>ROUND(E39*D41,2)</f>
        <v>11</v>
      </c>
      <c r="F41" s="383"/>
    </row>
    <row r="42" spans="1:6" ht="11.25">
      <c r="A42" s="255"/>
      <c r="D42" s="270"/>
      <c r="E42" s="260"/>
      <c r="F42" s="383"/>
    </row>
    <row r="43" spans="1:6" ht="11.25">
      <c r="A43" s="256" t="s">
        <v>411</v>
      </c>
      <c r="B43" s="257"/>
      <c r="C43" s="257"/>
      <c r="D43" s="268"/>
      <c r="E43" s="262"/>
      <c r="F43" s="383"/>
    </row>
    <row r="44" spans="1:6" ht="11.25">
      <c r="A44" s="255"/>
      <c r="D44" s="270"/>
      <c r="E44" s="260"/>
      <c r="F44" s="383"/>
    </row>
    <row r="45" spans="1:6" ht="11.25">
      <c r="A45" s="258" t="s">
        <v>412</v>
      </c>
      <c r="C45" s="454">
        <v>70</v>
      </c>
      <c r="D45" s="453">
        <v>12.62</v>
      </c>
      <c r="E45" s="259">
        <f>ROUND(C45*D45,2)</f>
        <v>883.4</v>
      </c>
      <c r="F45" s="383"/>
    </row>
    <row r="46" spans="1:6" ht="11.25">
      <c r="A46" s="289"/>
      <c r="B46" s="290"/>
      <c r="C46" s="290"/>
      <c r="D46" s="291"/>
      <c r="E46" s="385"/>
      <c r="F46" s="387"/>
    </row>
    <row r="47" spans="1:6" ht="11.25">
      <c r="A47" s="289"/>
      <c r="B47" s="291"/>
      <c r="C47" s="290"/>
      <c r="D47" s="290"/>
      <c r="E47" s="384"/>
      <c r="F47" s="386"/>
    </row>
    <row r="48" spans="1:6" ht="21.75" customHeight="1">
      <c r="A48" s="271" t="s">
        <v>398</v>
      </c>
      <c r="B48" s="305"/>
      <c r="C48" s="272"/>
      <c r="D48" s="272"/>
      <c r="E48" s="273"/>
      <c r="F48" s="299">
        <f>SUM(F3:F11)</f>
        <v>119689.4</v>
      </c>
    </row>
    <row r="49" ht="30.75" customHeight="1"/>
    <row r="50" spans="1:8" ht="12.75">
      <c r="A50" s="192" t="s">
        <v>189</v>
      </c>
      <c r="B50" s="306"/>
      <c r="C50" s="274"/>
      <c r="D50" s="274"/>
      <c r="E50" s="275"/>
      <c r="F50" s="276"/>
      <c r="H50" s="295"/>
    </row>
    <row r="51" spans="1:8" ht="33.75">
      <c r="A51" s="497" t="s">
        <v>190</v>
      </c>
      <c r="B51" s="498"/>
      <c r="C51" s="296" t="s">
        <v>414</v>
      </c>
      <c r="D51" s="296" t="s">
        <v>415</v>
      </c>
      <c r="E51" s="297" t="s">
        <v>416</v>
      </c>
      <c r="F51" s="298" t="s">
        <v>138</v>
      </c>
      <c r="H51" s="295"/>
    </row>
    <row r="52" spans="1:8" ht="12.75" customHeight="1">
      <c r="A52" s="499"/>
      <c r="B52" s="500"/>
      <c r="C52" s="300" t="s">
        <v>251</v>
      </c>
      <c r="D52" s="300" t="s">
        <v>253</v>
      </c>
      <c r="E52" s="301" t="s">
        <v>271</v>
      </c>
      <c r="F52" s="302" t="s">
        <v>272</v>
      </c>
      <c r="H52" s="295"/>
    </row>
    <row r="53" spans="1:6" ht="11.25">
      <c r="A53" s="501"/>
      <c r="B53" s="502"/>
      <c r="C53" s="87">
        <v>0.9176</v>
      </c>
      <c r="D53" s="87">
        <v>0.0093</v>
      </c>
      <c r="E53" s="89">
        <v>0.0468</v>
      </c>
      <c r="F53" s="90">
        <v>0.0263</v>
      </c>
    </row>
    <row r="54" spans="1:6" ht="11.25">
      <c r="A54" s="503"/>
      <c r="B54" s="504"/>
      <c r="C54" s="93"/>
      <c r="D54" s="93"/>
      <c r="E54" s="95"/>
      <c r="F54" s="96"/>
    </row>
    <row r="55" spans="1:6" ht="11.25">
      <c r="A55" s="493">
        <f>F48</f>
        <v>119689.4</v>
      </c>
      <c r="B55" s="494"/>
      <c r="C55" s="198">
        <f>ROUND(A55*C53,2)</f>
        <v>109826.99</v>
      </c>
      <c r="D55" s="198">
        <f>ROUND(A55*D53,2)-0.01</f>
        <v>1113.1</v>
      </c>
      <c r="E55" s="199">
        <f>ROUND(A55*E53,2)</f>
        <v>5601.46</v>
      </c>
      <c r="F55" s="200">
        <f>ROUND(A55*F53,2)</f>
        <v>3147.83</v>
      </c>
    </row>
    <row r="56" spans="1:6" ht="11.25">
      <c r="A56" s="495"/>
      <c r="B56" s="496"/>
      <c r="C56" s="99"/>
      <c r="D56" s="99"/>
      <c r="E56" s="101"/>
      <c r="F56" s="102"/>
    </row>
    <row r="57" spans="1:8" ht="11.25">
      <c r="A57" s="69"/>
      <c r="B57" s="69"/>
      <c r="C57" s="70"/>
      <c r="D57" s="71"/>
      <c r="E57" s="71"/>
      <c r="F57" s="103"/>
      <c r="G57" s="73"/>
      <c r="H57" s="74"/>
    </row>
    <row r="58" spans="1:8" ht="11.25">
      <c r="A58" s="20" t="s">
        <v>302</v>
      </c>
      <c r="B58" s="20"/>
      <c r="C58" s="104"/>
      <c r="D58" s="71"/>
      <c r="E58" s="71"/>
      <c r="F58" s="103"/>
      <c r="G58" s="73"/>
      <c r="H58" s="74"/>
    </row>
  </sheetData>
  <mergeCells count="6">
    <mergeCell ref="A55:B55"/>
    <mergeCell ref="A56:B56"/>
    <mergeCell ref="A51:B51"/>
    <mergeCell ref="A52:B52"/>
    <mergeCell ref="A53:B53"/>
    <mergeCell ref="A54:B54"/>
  </mergeCells>
  <printOptions/>
  <pageMargins left="0.7874015748031497" right="0.7874015748031497" top="1.1811023622047245" bottom="0.5905511811023623" header="0.7086614173228347" footer="0.5118110236220472"/>
  <pageSetup horizontalDpi="1200" verticalDpi="1200" orientation="portrait" paperSize="9" r:id="rId3"/>
  <headerFooter alignWithMargins="0">
    <oddHeader>&amp;LAnlage 2 zur Gebührenbedarfsberechnung 2006 lt. BV ........ UA Straßenreinigung</oddHeader>
    <oddFooter>&amp;R&amp;8&amp;D /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40" sqref="A40"/>
    </sheetView>
  </sheetViews>
  <sheetFormatPr defaultColWidth="11.421875" defaultRowHeight="12.75"/>
  <cols>
    <col min="1" max="1" width="12.7109375" style="2" customWidth="1"/>
    <col min="2" max="7" width="12.7109375" style="1" customWidth="1"/>
    <col min="8" max="16384" width="10.00390625" style="1" customWidth="1"/>
  </cols>
  <sheetData>
    <row r="1" ht="15" customHeight="1">
      <c r="A1" s="106" t="s">
        <v>197</v>
      </c>
    </row>
    <row r="2" spans="1:5" ht="15" customHeight="1">
      <c r="A2" s="106" t="s">
        <v>198</v>
      </c>
      <c r="E2" s="8"/>
    </row>
    <row r="3" spans="1:5" ht="15" customHeight="1">
      <c r="A3" s="107" t="s">
        <v>199</v>
      </c>
      <c r="E3" s="8"/>
    </row>
    <row r="4" ht="9.75" customHeight="1"/>
    <row r="5" spans="1:7" ht="12.75" customHeight="1">
      <c r="A5" s="26" t="s">
        <v>200</v>
      </c>
      <c r="B5" s="489" t="s">
        <v>201</v>
      </c>
      <c r="C5" s="511"/>
      <c r="D5" s="490"/>
      <c r="E5" s="26" t="s">
        <v>202</v>
      </c>
      <c r="F5" s="108" t="s">
        <v>65</v>
      </c>
      <c r="G5" s="109" t="s">
        <v>68</v>
      </c>
    </row>
    <row r="6" spans="1:7" ht="12.75" customHeight="1">
      <c r="A6" s="31" t="s">
        <v>203</v>
      </c>
      <c r="B6" s="110"/>
      <c r="C6" s="19"/>
      <c r="D6" s="111"/>
      <c r="E6" s="31" t="s">
        <v>204</v>
      </c>
      <c r="F6" s="31" t="s">
        <v>205</v>
      </c>
      <c r="G6" s="42" t="s">
        <v>206</v>
      </c>
    </row>
    <row r="7" spans="1:7" ht="12.75" customHeight="1">
      <c r="A7" s="31"/>
      <c r="B7" s="59"/>
      <c r="C7" s="15"/>
      <c r="D7" s="64"/>
      <c r="E7" s="112"/>
      <c r="F7" s="31" t="s">
        <v>207</v>
      </c>
      <c r="G7" s="42" t="s">
        <v>207</v>
      </c>
    </row>
    <row r="8" spans="1:7" ht="12.75" customHeight="1">
      <c r="A8" s="31"/>
      <c r="B8" s="59"/>
      <c r="C8" s="15"/>
      <c r="D8" s="64"/>
      <c r="E8" s="112"/>
      <c r="F8" s="112"/>
      <c r="G8" s="42" t="s">
        <v>208</v>
      </c>
    </row>
    <row r="9" spans="1:7" ht="12.75" customHeight="1">
      <c r="A9" s="31"/>
      <c r="B9" s="59"/>
      <c r="C9" s="15"/>
      <c r="D9" s="64"/>
      <c r="E9" s="112"/>
      <c r="F9" s="113" t="s">
        <v>164</v>
      </c>
      <c r="G9" s="31" t="s">
        <v>164</v>
      </c>
    </row>
    <row r="10" spans="1:7" s="117" customFormat="1" ht="12.75" customHeight="1">
      <c r="A10" s="114"/>
      <c r="B10" s="67" t="s">
        <v>209</v>
      </c>
      <c r="C10" s="115"/>
      <c r="D10" s="116"/>
      <c r="E10" s="114" t="s">
        <v>210</v>
      </c>
      <c r="F10" s="114"/>
      <c r="G10" s="114"/>
    </row>
    <row r="11" spans="1:9" ht="24" customHeight="1">
      <c r="A11" s="118" t="s">
        <v>211</v>
      </c>
      <c r="B11" s="512" t="s">
        <v>212</v>
      </c>
      <c r="C11" s="513"/>
      <c r="D11" s="514"/>
      <c r="E11" s="118" t="s">
        <v>213</v>
      </c>
      <c r="F11" s="482">
        <v>413.58</v>
      </c>
      <c r="G11" s="482">
        <f>ROUND(4963.03/2*4.5%,2)</f>
        <v>111.67</v>
      </c>
      <c r="I11" s="119"/>
    </row>
    <row r="12" spans="1:7" ht="16.5" customHeight="1">
      <c r="A12" s="120" t="s">
        <v>214</v>
      </c>
      <c r="B12" s="505" t="s">
        <v>215</v>
      </c>
      <c r="C12" s="506"/>
      <c r="D12" s="507"/>
      <c r="E12" s="120" t="s">
        <v>213</v>
      </c>
      <c r="F12" s="483">
        <v>39.2</v>
      </c>
      <c r="G12" s="483">
        <f>ROUND(470.39/2*4.5%,2)</f>
        <v>10.58</v>
      </c>
    </row>
    <row r="13" spans="1:7" ht="12" customHeight="1">
      <c r="A13" s="120" t="s">
        <v>216</v>
      </c>
      <c r="B13" s="505" t="s">
        <v>217</v>
      </c>
      <c r="C13" s="506"/>
      <c r="D13" s="507"/>
      <c r="E13" s="120" t="s">
        <v>213</v>
      </c>
      <c r="F13" s="483">
        <v>0</v>
      </c>
      <c r="G13" s="483">
        <f>0/2*4.5%</f>
        <v>0</v>
      </c>
    </row>
    <row r="14" spans="1:7" ht="12" customHeight="1">
      <c r="A14" s="120" t="s">
        <v>218</v>
      </c>
      <c r="B14" s="505" t="s">
        <v>219</v>
      </c>
      <c r="C14" s="506"/>
      <c r="D14" s="507"/>
      <c r="E14" s="120" t="s">
        <v>213</v>
      </c>
      <c r="F14" s="483">
        <v>0</v>
      </c>
      <c r="G14" s="483">
        <v>0</v>
      </c>
    </row>
    <row r="15" spans="1:7" ht="12" customHeight="1">
      <c r="A15" s="120" t="s">
        <v>220</v>
      </c>
      <c r="B15" s="505" t="s">
        <v>221</v>
      </c>
      <c r="C15" s="506"/>
      <c r="D15" s="507"/>
      <c r="E15" s="120" t="s">
        <v>213</v>
      </c>
      <c r="F15" s="483">
        <v>0</v>
      </c>
      <c r="G15" s="483">
        <v>0</v>
      </c>
    </row>
    <row r="16" spans="1:7" ht="12" customHeight="1">
      <c r="A16" s="120" t="s">
        <v>222</v>
      </c>
      <c r="B16" s="505" t="s">
        <v>223</v>
      </c>
      <c r="C16" s="506"/>
      <c r="D16" s="507"/>
      <c r="E16" s="120" t="s">
        <v>213</v>
      </c>
      <c r="F16" s="483">
        <v>906.48</v>
      </c>
      <c r="G16" s="483">
        <f>ROUND(10877.73/2*4.5%,2)</f>
        <v>244.75</v>
      </c>
    </row>
    <row r="17" spans="1:7" ht="24" customHeight="1">
      <c r="A17" s="120" t="s">
        <v>224</v>
      </c>
      <c r="B17" s="508" t="s">
        <v>225</v>
      </c>
      <c r="C17" s="509"/>
      <c r="D17" s="510"/>
      <c r="E17" s="120" t="s">
        <v>213</v>
      </c>
      <c r="F17" s="483">
        <v>247.93</v>
      </c>
      <c r="G17" s="483">
        <f>ROUND(2975.21/2*4.5%,2)</f>
        <v>66.94</v>
      </c>
    </row>
    <row r="18" spans="1:7" ht="12" customHeight="1">
      <c r="A18" s="120" t="s">
        <v>226</v>
      </c>
      <c r="B18" s="505" t="s">
        <v>227</v>
      </c>
      <c r="C18" s="506"/>
      <c r="D18" s="507"/>
      <c r="E18" s="120" t="s">
        <v>213</v>
      </c>
      <c r="F18" s="483">
        <v>90.97</v>
      </c>
      <c r="G18" s="483">
        <f>ROUND(1091.61/2*4.5%,2)</f>
        <v>24.56</v>
      </c>
    </row>
    <row r="19" spans="1:7" ht="24.75" customHeight="1">
      <c r="A19" s="120" t="s">
        <v>228</v>
      </c>
      <c r="B19" s="508" t="s">
        <v>229</v>
      </c>
      <c r="C19" s="509"/>
      <c r="D19" s="510"/>
      <c r="E19" s="120" t="s">
        <v>213</v>
      </c>
      <c r="F19" s="483">
        <v>766.28</v>
      </c>
      <c r="G19" s="483">
        <f>ROUND(9195.42/2*4.5%,2)</f>
        <v>206.9</v>
      </c>
    </row>
    <row r="20" spans="1:10" ht="12.75" customHeight="1">
      <c r="A20" s="120" t="s">
        <v>230</v>
      </c>
      <c r="B20" s="505" t="s">
        <v>231</v>
      </c>
      <c r="C20" s="506"/>
      <c r="D20" s="507"/>
      <c r="E20" s="120" t="s">
        <v>213</v>
      </c>
      <c r="F20" s="483">
        <v>539.35</v>
      </c>
      <c r="G20" s="483">
        <f>ROUND(6472.17/2*4.5%,2)</f>
        <v>145.62</v>
      </c>
      <c r="H20" s="121"/>
      <c r="I20" s="121"/>
      <c r="J20" s="121"/>
    </row>
    <row r="21" spans="1:10" ht="24" customHeight="1">
      <c r="A21" s="120" t="s">
        <v>232</v>
      </c>
      <c r="B21" s="508" t="s">
        <v>233</v>
      </c>
      <c r="C21" s="509"/>
      <c r="D21" s="510"/>
      <c r="E21" s="120" t="s">
        <v>213</v>
      </c>
      <c r="F21" s="483">
        <v>2304.63</v>
      </c>
      <c r="G21" s="483">
        <f>ROUND(27655.65/2*4.5%,2)</f>
        <v>622.25</v>
      </c>
      <c r="H21" s="121"/>
      <c r="I21" s="121"/>
      <c r="J21" s="121"/>
    </row>
    <row r="22" spans="1:10" ht="12" customHeight="1">
      <c r="A22" s="120" t="s">
        <v>234</v>
      </c>
      <c r="B22" s="505" t="s">
        <v>235</v>
      </c>
      <c r="C22" s="506"/>
      <c r="D22" s="507"/>
      <c r="E22" s="120" t="s">
        <v>213</v>
      </c>
      <c r="F22" s="483">
        <v>1551.73</v>
      </c>
      <c r="G22" s="483">
        <f>ROUND(18620.74/2*4.5%,2)</f>
        <v>418.97</v>
      </c>
      <c r="H22" s="121"/>
      <c r="I22" s="121"/>
      <c r="J22" s="121"/>
    </row>
    <row r="23" spans="1:10" ht="12" customHeight="1">
      <c r="A23" s="120" t="s">
        <v>236</v>
      </c>
      <c r="B23" s="505" t="s">
        <v>237</v>
      </c>
      <c r="C23" s="506"/>
      <c r="D23" s="507"/>
      <c r="E23" s="120" t="s">
        <v>213</v>
      </c>
      <c r="F23" s="483">
        <v>483.07</v>
      </c>
      <c r="G23" s="483">
        <f>ROUND(5796.83/2*4.5%,2)</f>
        <v>130.43</v>
      </c>
      <c r="H23" s="121"/>
      <c r="I23" s="121"/>
      <c r="J23" s="121"/>
    </row>
    <row r="24" spans="1:7" s="121" customFormat="1" ht="12" customHeight="1">
      <c r="A24" s="120" t="s">
        <v>238</v>
      </c>
      <c r="B24" s="505" t="s">
        <v>235</v>
      </c>
      <c r="C24" s="506"/>
      <c r="D24" s="507"/>
      <c r="E24" s="120" t="s">
        <v>213</v>
      </c>
      <c r="F24" s="483">
        <v>1140.45</v>
      </c>
      <c r="G24" s="483">
        <f>ROUND(13685.37/2*4.5%,2)</f>
        <v>307.92</v>
      </c>
    </row>
    <row r="25" spans="1:7" ht="12.75">
      <c r="A25" s="120" t="s">
        <v>239</v>
      </c>
      <c r="B25" s="515" t="s">
        <v>240</v>
      </c>
      <c r="C25" s="516"/>
      <c r="D25" s="517"/>
      <c r="E25" s="120" t="s">
        <v>213</v>
      </c>
      <c r="F25" s="483">
        <v>172</v>
      </c>
      <c r="G25" s="483">
        <f>ROUND(2063.98/2*4.5%,2)</f>
        <v>46.44</v>
      </c>
    </row>
    <row r="26" spans="1:7" ht="12" customHeight="1">
      <c r="A26" s="208"/>
      <c r="B26" s="209" t="s">
        <v>188</v>
      </c>
      <c r="C26" s="210"/>
      <c r="D26" s="211"/>
      <c r="E26" s="212"/>
      <c r="F26" s="213">
        <f>SUM(F11:F25)</f>
        <v>8655.67</v>
      </c>
      <c r="G26" s="213">
        <f>SUM(G11:G25)</f>
        <v>2337.03</v>
      </c>
    </row>
    <row r="27" spans="6:7" ht="13.5" customHeight="1">
      <c r="F27" s="11"/>
      <c r="G27" s="11"/>
    </row>
    <row r="28" spans="6:7" ht="19.5" customHeight="1">
      <c r="F28" s="11"/>
      <c r="G28" s="11"/>
    </row>
    <row r="29" spans="1:9" ht="13.5" customHeight="1">
      <c r="A29" s="75" t="s">
        <v>189</v>
      </c>
      <c r="B29" s="76"/>
      <c r="C29" s="77"/>
      <c r="D29" s="77"/>
      <c r="E29" s="76"/>
      <c r="F29" s="76"/>
      <c r="G29" s="122"/>
      <c r="H29" s="73"/>
      <c r="I29" s="74"/>
    </row>
    <row r="30" spans="1:9" ht="12.75">
      <c r="A30" s="78"/>
      <c r="B30" s="491" t="s">
        <v>241</v>
      </c>
      <c r="C30" s="491"/>
      <c r="D30" s="491"/>
      <c r="E30" s="123"/>
      <c r="F30" s="124" t="s">
        <v>242</v>
      </c>
      <c r="G30" s="125"/>
      <c r="H30" s="126"/>
      <c r="I30" s="126"/>
    </row>
    <row r="31" spans="1:9" ht="12.75">
      <c r="A31" s="79"/>
      <c r="B31" s="80" t="s">
        <v>193</v>
      </c>
      <c r="C31" s="81" t="s">
        <v>194</v>
      </c>
      <c r="D31" s="81" t="s">
        <v>195</v>
      </c>
      <c r="E31" s="80" t="s">
        <v>193</v>
      </c>
      <c r="F31" s="81" t="s">
        <v>194</v>
      </c>
      <c r="G31" s="81" t="s">
        <v>196</v>
      </c>
      <c r="H31" s="127"/>
      <c r="I31" s="128"/>
    </row>
    <row r="32" spans="1:9" ht="12.75">
      <c r="A32" s="85"/>
      <c r="B32" s="86"/>
      <c r="C32" s="87">
        <v>0.0074</v>
      </c>
      <c r="D32" s="87">
        <v>0.9926</v>
      </c>
      <c r="E32" s="86"/>
      <c r="F32" s="87">
        <v>0.0044</v>
      </c>
      <c r="G32" s="87">
        <v>0.9956</v>
      </c>
      <c r="H32" s="129"/>
      <c r="I32" s="130"/>
    </row>
    <row r="33" spans="1:9" ht="12.75">
      <c r="A33" s="215" t="s">
        <v>65</v>
      </c>
      <c r="B33" s="131"/>
      <c r="C33" s="132"/>
      <c r="D33" s="132"/>
      <c r="E33" s="78"/>
      <c r="F33" s="133"/>
      <c r="G33" s="133"/>
      <c r="H33" s="129"/>
      <c r="I33" s="130"/>
    </row>
    <row r="34" spans="1:9" ht="24" customHeight="1">
      <c r="A34" s="134">
        <f>F26</f>
        <v>8655.67</v>
      </c>
      <c r="B34" s="135">
        <v>0</v>
      </c>
      <c r="C34" s="136">
        <v>0</v>
      </c>
      <c r="D34" s="136">
        <v>0</v>
      </c>
      <c r="E34" s="137">
        <f>F26</f>
        <v>8655.67</v>
      </c>
      <c r="F34" s="214">
        <f>ROUND(E34*F32,2)</f>
        <v>38.08</v>
      </c>
      <c r="G34" s="214">
        <f>ROUND(E34*G32,2)</f>
        <v>8617.59</v>
      </c>
      <c r="H34" s="138"/>
      <c r="I34" s="139"/>
    </row>
    <row r="35" spans="1:9" ht="12.75" customHeight="1">
      <c r="A35" s="215" t="s">
        <v>68</v>
      </c>
      <c r="B35" s="140"/>
      <c r="C35" s="141"/>
      <c r="D35" s="141"/>
      <c r="E35" s="142"/>
      <c r="F35" s="143"/>
      <c r="G35" s="143"/>
      <c r="H35" s="138"/>
      <c r="I35" s="139"/>
    </row>
    <row r="36" spans="1:9" ht="24" customHeight="1">
      <c r="A36" s="134">
        <f>G26</f>
        <v>2337.03</v>
      </c>
      <c r="B36" s="135">
        <v>0</v>
      </c>
      <c r="C36" s="136">
        <f>ROUND(B36*C32,2)</f>
        <v>0</v>
      </c>
      <c r="D36" s="136">
        <f>ROUND(B36*D32,2)</f>
        <v>0</v>
      </c>
      <c r="E36" s="137">
        <f>G26</f>
        <v>2337.03</v>
      </c>
      <c r="F36" s="214">
        <f>ROUND(E36*F32,2)</f>
        <v>10.28</v>
      </c>
      <c r="G36" s="214">
        <f>ROUND(E36*G32,2)</f>
        <v>2326.75</v>
      </c>
      <c r="H36" s="138"/>
      <c r="I36" s="139"/>
    </row>
    <row r="37" spans="1:7" ht="12.75">
      <c r="A37" s="144"/>
      <c r="B37" s="145"/>
      <c r="C37" s="146"/>
      <c r="D37" s="146"/>
      <c r="F37" s="11"/>
      <c r="G37" s="11"/>
    </row>
    <row r="38" spans="1:7" ht="12.75">
      <c r="A38" s="20" t="s">
        <v>302</v>
      </c>
      <c r="F38" s="11"/>
      <c r="G38" s="11"/>
    </row>
    <row r="39" spans="1:7" ht="12.75">
      <c r="A39" s="20"/>
      <c r="F39" s="11"/>
      <c r="G39" s="11"/>
    </row>
    <row r="40" spans="6:7" ht="12.75">
      <c r="F40" s="11"/>
      <c r="G40" s="11"/>
    </row>
  </sheetData>
  <mergeCells count="17">
    <mergeCell ref="B30:D30"/>
    <mergeCell ref="B14:D14"/>
    <mergeCell ref="B21:D21"/>
    <mergeCell ref="B22:D22"/>
    <mergeCell ref="B15:D15"/>
    <mergeCell ref="B16:D16"/>
    <mergeCell ref="B23:D23"/>
    <mergeCell ref="B24:D24"/>
    <mergeCell ref="B25:D25"/>
    <mergeCell ref="B17:D17"/>
    <mergeCell ref="B18:D18"/>
    <mergeCell ref="B19:D19"/>
    <mergeCell ref="B20:D20"/>
    <mergeCell ref="B5:D5"/>
    <mergeCell ref="B11:D11"/>
    <mergeCell ref="B12:D12"/>
    <mergeCell ref="B13:D13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scale="99" r:id="rId1"/>
  <headerFooter alignWithMargins="0">
    <oddHeader>&amp;L&amp;"Arial,Standard"Anlage 3  zur Gebührenbedarfsberechnung 2006 lt. BV ......... UA Straßenreinigung</oddHeader>
    <oddFooter>&amp;R&amp;"Arial,Standard"&amp;8&amp;D 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E14" sqref="E14"/>
    </sheetView>
  </sheetViews>
  <sheetFormatPr defaultColWidth="11.421875" defaultRowHeight="12.75"/>
  <cols>
    <col min="1" max="7" width="12.7109375" style="1" customWidth="1"/>
    <col min="8" max="8" width="6.7109375" style="1" customWidth="1"/>
    <col min="9" max="9" width="10.00390625" style="1" customWidth="1"/>
    <col min="10" max="10" width="4.00390625" style="1" customWidth="1"/>
    <col min="11" max="11" width="24.00390625" style="1" customWidth="1"/>
    <col min="12" max="12" width="4.00390625" style="1" customWidth="1"/>
    <col min="13" max="16384" width="10.00390625" style="1" customWidth="1"/>
  </cols>
  <sheetData>
    <row r="1" spans="1:7" ht="12.75">
      <c r="A1" s="206" t="s">
        <v>243</v>
      </c>
      <c r="B1" s="204"/>
      <c r="C1" s="204"/>
      <c r="D1" s="204"/>
      <c r="E1" s="204"/>
      <c r="F1" s="204"/>
      <c r="G1" s="205"/>
    </row>
    <row r="2" spans="1:7" ht="30" customHeight="1">
      <c r="A2" s="455"/>
      <c r="B2" s="167"/>
      <c r="C2" s="167"/>
      <c r="D2" s="167"/>
      <c r="E2" s="167"/>
      <c r="F2" s="167"/>
      <c r="G2" s="167"/>
    </row>
    <row r="3" spans="1:7" ht="12.75">
      <c r="A3" s="202" t="s">
        <v>244</v>
      </c>
      <c r="B3" s="456"/>
      <c r="C3" s="456"/>
      <c r="D3" s="456"/>
      <c r="E3" s="456"/>
      <c r="F3" s="456"/>
      <c r="G3" s="456"/>
    </row>
    <row r="4" spans="1:7" ht="12.75">
      <c r="A4" s="455"/>
      <c r="B4" s="167"/>
      <c r="C4" s="167"/>
      <c r="D4" s="167"/>
      <c r="E4" s="167"/>
      <c r="F4" s="167"/>
      <c r="G4" s="167"/>
    </row>
    <row r="5" spans="1:7" ht="12.75">
      <c r="A5" s="11" t="s">
        <v>245</v>
      </c>
      <c r="B5" s="167"/>
      <c r="C5" s="457">
        <v>0.9</v>
      </c>
      <c r="D5" s="167"/>
      <c r="E5" s="167"/>
      <c r="F5" s="167"/>
      <c r="G5" s="167"/>
    </row>
    <row r="6" spans="1:7" ht="12.75">
      <c r="A6" s="11" t="s">
        <v>246</v>
      </c>
      <c r="B6" s="167"/>
      <c r="C6" s="457">
        <v>0.1</v>
      </c>
      <c r="D6" s="167"/>
      <c r="E6" s="167"/>
      <c r="F6" s="167"/>
      <c r="G6" s="167"/>
    </row>
    <row r="7" spans="1:7" ht="30" customHeight="1">
      <c r="A7" s="455"/>
      <c r="B7" s="167"/>
      <c r="C7" s="167"/>
      <c r="D7" s="167"/>
      <c r="E7" s="167"/>
      <c r="F7" s="167"/>
      <c r="G7" s="167"/>
    </row>
    <row r="8" spans="1:7" ht="12.75">
      <c r="A8" s="202" t="s">
        <v>247</v>
      </c>
      <c r="B8" s="456"/>
      <c r="C8" s="456"/>
      <c r="D8" s="456"/>
      <c r="E8" s="456"/>
      <c r="F8" s="456"/>
      <c r="G8" s="456"/>
    </row>
    <row r="9" spans="1:7" ht="12.75">
      <c r="A9" s="167"/>
      <c r="B9" s="167"/>
      <c r="C9" s="167"/>
      <c r="D9" s="167"/>
      <c r="E9" s="167"/>
      <c r="F9" s="167"/>
      <c r="G9" s="167"/>
    </row>
    <row r="10" spans="1:7" ht="15" customHeight="1">
      <c r="A10" s="147"/>
      <c r="B10" s="518" t="s">
        <v>248</v>
      </c>
      <c r="C10" s="519"/>
      <c r="D10" s="520"/>
      <c r="E10" s="521" t="s">
        <v>249</v>
      </c>
      <c r="F10" s="522"/>
      <c r="G10" s="523"/>
    </row>
    <row r="11" spans="1:7" ht="15" customHeight="1">
      <c r="A11" s="148"/>
      <c r="B11" s="149" t="s">
        <v>193</v>
      </c>
      <c r="C11" s="150" t="s">
        <v>194</v>
      </c>
      <c r="D11" s="150" t="s">
        <v>195</v>
      </c>
      <c r="E11" s="149" t="s">
        <v>193</v>
      </c>
      <c r="F11" s="150" t="s">
        <v>194</v>
      </c>
      <c r="G11" s="150" t="s">
        <v>196</v>
      </c>
    </row>
    <row r="12" spans="1:7" ht="15" customHeight="1">
      <c r="A12" s="151"/>
      <c r="B12" s="152"/>
      <c r="C12" s="153" t="s">
        <v>250</v>
      </c>
      <c r="D12" s="153" t="s">
        <v>251</v>
      </c>
      <c r="E12" s="149"/>
      <c r="F12" s="153" t="s">
        <v>252</v>
      </c>
      <c r="G12" s="153" t="s">
        <v>253</v>
      </c>
    </row>
    <row r="13" spans="1:7" ht="12.75">
      <c r="A13" s="154"/>
      <c r="B13" s="147"/>
      <c r="C13" s="155"/>
      <c r="D13" s="155"/>
      <c r="E13" s="147"/>
      <c r="F13" s="155"/>
      <c r="G13" s="155"/>
    </row>
    <row r="14" spans="1:7" ht="12.75">
      <c r="A14" s="156" t="s">
        <v>45</v>
      </c>
      <c r="B14" s="157">
        <f>SUM(C14+D16)</f>
        <v>90845</v>
      </c>
      <c r="C14" s="158">
        <v>678</v>
      </c>
      <c r="D14" s="159">
        <v>48795</v>
      </c>
      <c r="E14" s="157">
        <f>F14+G17</f>
        <v>155871</v>
      </c>
      <c r="F14" s="158">
        <v>678</v>
      </c>
      <c r="G14" s="159">
        <f>D14</f>
        <v>48795</v>
      </c>
    </row>
    <row r="15" spans="1:7" ht="12.75">
      <c r="A15" s="156"/>
      <c r="B15" s="157"/>
      <c r="C15" s="160"/>
      <c r="D15" s="458">
        <v>41372</v>
      </c>
      <c r="E15" s="157"/>
      <c r="F15" s="158"/>
      <c r="G15" s="159">
        <f>D15</f>
        <v>41372</v>
      </c>
    </row>
    <row r="16" spans="1:7" ht="12.75">
      <c r="A16" s="156"/>
      <c r="B16" s="157"/>
      <c r="C16" s="159"/>
      <c r="D16" s="158">
        <f>SUM(D14:D15)</f>
        <v>90167</v>
      </c>
      <c r="E16" s="157"/>
      <c r="F16" s="158"/>
      <c r="G16" s="458">
        <v>65026</v>
      </c>
    </row>
    <row r="17" spans="1:7" ht="13.5" customHeight="1">
      <c r="A17" s="161"/>
      <c r="B17" s="162"/>
      <c r="C17" s="163"/>
      <c r="D17" s="163"/>
      <c r="E17" s="162"/>
      <c r="F17" s="164"/>
      <c r="G17" s="459">
        <f>SUM(G14:G16)</f>
        <v>155193</v>
      </c>
    </row>
    <row r="18" spans="1:7" ht="21" customHeight="1">
      <c r="A18" s="165" t="s">
        <v>16</v>
      </c>
      <c r="B18" s="166">
        <v>1</v>
      </c>
      <c r="C18" s="207">
        <f>C14/B14</f>
        <v>0.007463261599427597</v>
      </c>
      <c r="D18" s="207">
        <f>D16/B14</f>
        <v>0.9925367384005724</v>
      </c>
      <c r="E18" s="166">
        <v>1</v>
      </c>
      <c r="F18" s="207">
        <f>F14/E14</f>
        <v>0.004349750755432377</v>
      </c>
      <c r="G18" s="207">
        <f>G17/E14</f>
        <v>0.9956502492445676</v>
      </c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 t="s">
        <v>254</v>
      </c>
      <c r="B20" s="167"/>
      <c r="C20" s="167"/>
      <c r="D20" s="167"/>
      <c r="E20" s="167"/>
      <c r="F20" s="167"/>
      <c r="G20" s="167"/>
    </row>
    <row r="21" spans="1:7" ht="12.75">
      <c r="A21" s="167" t="s">
        <v>51</v>
      </c>
      <c r="B21" s="167" t="s">
        <v>255</v>
      </c>
      <c r="C21" s="167"/>
      <c r="D21" s="167"/>
      <c r="E21" s="167"/>
      <c r="F21" s="168" t="s">
        <v>256</v>
      </c>
      <c r="G21" s="167"/>
    </row>
    <row r="22" spans="1:7" ht="12.75">
      <c r="A22" s="167" t="s">
        <v>53</v>
      </c>
      <c r="B22" s="167" t="s">
        <v>257</v>
      </c>
      <c r="C22" s="167"/>
      <c r="D22" s="167"/>
      <c r="E22" s="167"/>
      <c r="F22" s="168" t="s">
        <v>256</v>
      </c>
      <c r="G22" s="167"/>
    </row>
    <row r="23" spans="1:7" ht="12.75">
      <c r="A23" s="167" t="s">
        <v>5</v>
      </c>
      <c r="B23" s="167" t="s">
        <v>258</v>
      </c>
      <c r="C23" s="167"/>
      <c r="D23" s="167"/>
      <c r="E23" s="167"/>
      <c r="F23" s="168" t="s">
        <v>259</v>
      </c>
      <c r="G23" s="167"/>
    </row>
    <row r="24" spans="1:11" ht="12.75">
      <c r="A24" s="167"/>
      <c r="B24" s="167" t="s">
        <v>260</v>
      </c>
      <c r="C24" s="167"/>
      <c r="D24" s="167"/>
      <c r="E24" s="167"/>
      <c r="F24" s="168" t="s">
        <v>259</v>
      </c>
      <c r="G24" s="167"/>
      <c r="K24" s="2"/>
    </row>
    <row r="25" spans="1:11" ht="30" customHeight="1">
      <c r="A25" s="167"/>
      <c r="B25" s="167"/>
      <c r="C25" s="167"/>
      <c r="D25" s="167"/>
      <c r="E25" s="167"/>
      <c r="F25" s="168"/>
      <c r="G25" s="167"/>
      <c r="K25" s="2"/>
    </row>
    <row r="26" spans="1:7" ht="12.75">
      <c r="A26" s="202" t="s">
        <v>261</v>
      </c>
      <c r="B26" s="456"/>
      <c r="C26" s="456"/>
      <c r="D26" s="456"/>
      <c r="E26" s="456"/>
      <c r="F26" s="456"/>
      <c r="G26" s="456"/>
    </row>
    <row r="27" spans="1:7" ht="12.75">
      <c r="A27" s="8"/>
      <c r="B27" s="167"/>
      <c r="C27" s="167"/>
      <c r="D27" s="167"/>
      <c r="E27" s="167"/>
      <c r="F27" s="167"/>
      <c r="G27" s="167"/>
    </row>
    <row r="28" spans="1:7" ht="12.75">
      <c r="A28" s="169"/>
      <c r="B28" s="460"/>
      <c r="C28" s="460"/>
      <c r="D28" s="460"/>
      <c r="E28" s="171" t="s">
        <v>262</v>
      </c>
      <c r="F28" s="461"/>
      <c r="G28" s="462"/>
    </row>
    <row r="29" spans="1:7" ht="12.75">
      <c r="A29" s="463" t="s">
        <v>263</v>
      </c>
      <c r="B29" s="464"/>
      <c r="C29" s="464"/>
      <c r="D29" s="464"/>
      <c r="E29" s="465">
        <v>2000</v>
      </c>
      <c r="F29" s="466"/>
      <c r="G29" s="467"/>
    </row>
    <row r="30" spans="1:7" ht="12.75">
      <c r="A30" s="308" t="s">
        <v>264</v>
      </c>
      <c r="B30" s="167"/>
      <c r="C30" s="167"/>
      <c r="D30" s="167"/>
      <c r="E30" s="468">
        <v>200</v>
      </c>
      <c r="F30" s="467"/>
      <c r="G30" s="467"/>
    </row>
    <row r="31" spans="1:7" ht="12.75">
      <c r="A31" s="308" t="s">
        <v>265</v>
      </c>
      <c r="B31" s="167"/>
      <c r="C31" s="167"/>
      <c r="D31" s="167"/>
      <c r="E31" s="469">
        <v>25</v>
      </c>
      <c r="F31" s="467"/>
      <c r="G31" s="467"/>
    </row>
    <row r="32" spans="1:7" ht="12.75">
      <c r="A32" s="176" t="s">
        <v>266</v>
      </c>
      <c r="B32" s="167"/>
      <c r="C32" s="167"/>
      <c r="D32" s="167"/>
      <c r="E32" s="468">
        <v>65</v>
      </c>
      <c r="F32" s="470"/>
      <c r="G32" s="467"/>
    </row>
    <row r="33" spans="1:7" ht="16.5" customHeight="1">
      <c r="A33" s="169" t="s">
        <v>267</v>
      </c>
      <c r="B33" s="460"/>
      <c r="C33" s="460"/>
      <c r="D33" s="460"/>
      <c r="E33" s="177">
        <f>E29-E30-E31-E32</f>
        <v>1710</v>
      </c>
      <c r="F33" s="471">
        <f>SUM(F34:F37)</f>
        <v>0.9999999999999999</v>
      </c>
      <c r="G33" s="462"/>
    </row>
    <row r="34" spans="1:7" ht="12.75">
      <c r="A34" s="472" t="s">
        <v>15</v>
      </c>
      <c r="B34" s="464" t="s">
        <v>268</v>
      </c>
      <c r="C34" s="464"/>
      <c r="D34" s="464"/>
      <c r="E34" s="465">
        <v>1569</v>
      </c>
      <c r="F34" s="473">
        <f>ROUND(E34/E33,4)+0.01%</f>
        <v>0.9176</v>
      </c>
      <c r="G34" s="474" t="s">
        <v>251</v>
      </c>
    </row>
    <row r="35" spans="1:7" ht="12.75">
      <c r="A35" s="308"/>
      <c r="B35" s="167" t="s">
        <v>269</v>
      </c>
      <c r="C35" s="167"/>
      <c r="D35" s="167"/>
      <c r="E35" s="469">
        <v>16</v>
      </c>
      <c r="F35" s="473">
        <f>ROUND(E35/E33,4)-0.01%</f>
        <v>0.009300000000000001</v>
      </c>
      <c r="G35" s="475" t="s">
        <v>253</v>
      </c>
    </row>
    <row r="36" spans="1:7" ht="12.75">
      <c r="A36" s="308"/>
      <c r="B36" s="167" t="s">
        <v>270</v>
      </c>
      <c r="C36" s="167"/>
      <c r="D36" s="167"/>
      <c r="E36" s="469">
        <v>80</v>
      </c>
      <c r="F36" s="473">
        <f>ROUND(E36/E33,4)</f>
        <v>0.0468</v>
      </c>
      <c r="G36" s="475" t="s">
        <v>271</v>
      </c>
    </row>
    <row r="37" spans="1:7" ht="12.75">
      <c r="A37" s="176"/>
      <c r="B37" s="476" t="s">
        <v>138</v>
      </c>
      <c r="C37" s="476"/>
      <c r="D37" s="476"/>
      <c r="E37" s="477">
        <v>45</v>
      </c>
      <c r="F37" s="473">
        <f>ROUND(E37/E33,4)</f>
        <v>0.0263</v>
      </c>
      <c r="G37" s="478" t="s">
        <v>272</v>
      </c>
    </row>
    <row r="38" spans="1:7" ht="12.75">
      <c r="A38" s="167"/>
      <c r="B38" s="167"/>
      <c r="C38" s="167"/>
      <c r="D38" s="167"/>
      <c r="E38" s="479"/>
      <c r="F38" s="480"/>
      <c r="G38" s="481"/>
    </row>
    <row r="39" spans="1:7" ht="12.75">
      <c r="A39" s="167" t="s">
        <v>254</v>
      </c>
      <c r="B39" s="167"/>
      <c r="C39" s="167"/>
      <c r="D39" s="167"/>
      <c r="E39" s="479"/>
      <c r="F39" s="480"/>
      <c r="G39" s="481"/>
    </row>
    <row r="40" spans="1:7" ht="12.75">
      <c r="A40" s="167" t="s">
        <v>73</v>
      </c>
      <c r="B40" s="167" t="s">
        <v>273</v>
      </c>
      <c r="C40" s="167"/>
      <c r="D40" s="167"/>
      <c r="E40" s="167"/>
      <c r="F40" s="167"/>
      <c r="G40" s="167"/>
    </row>
    <row r="41" spans="1:7" ht="12.75">
      <c r="A41" s="167" t="s">
        <v>274</v>
      </c>
      <c r="B41" s="167" t="s">
        <v>275</v>
      </c>
      <c r="C41" s="167"/>
      <c r="D41" s="167"/>
      <c r="E41" s="167"/>
      <c r="F41" s="167"/>
      <c r="G41" s="167"/>
    </row>
    <row r="42" spans="1:7" ht="12.75">
      <c r="A42" s="167" t="s">
        <v>75</v>
      </c>
      <c r="B42" s="167" t="s">
        <v>276</v>
      </c>
      <c r="C42" s="167"/>
      <c r="D42" s="167"/>
      <c r="E42" s="167"/>
      <c r="F42" s="167"/>
      <c r="G42" s="167"/>
    </row>
    <row r="43" spans="1:7" ht="12.75">
      <c r="A43" s="167" t="s">
        <v>77</v>
      </c>
      <c r="B43" s="167" t="s">
        <v>277</v>
      </c>
      <c r="C43" s="167"/>
      <c r="D43" s="167"/>
      <c r="E43" s="167"/>
      <c r="F43" s="167"/>
      <c r="G43" s="167"/>
    </row>
    <row r="44" spans="1:7" ht="12.75">
      <c r="A44" s="167" t="s">
        <v>79</v>
      </c>
      <c r="B44" s="167" t="s">
        <v>278</v>
      </c>
      <c r="C44" s="167"/>
      <c r="D44" s="167"/>
      <c r="E44" s="167"/>
      <c r="F44" s="167"/>
      <c r="G44" s="167"/>
    </row>
    <row r="45" spans="1:7" ht="12.75">
      <c r="A45" s="167" t="s">
        <v>80</v>
      </c>
      <c r="B45" s="167" t="s">
        <v>279</v>
      </c>
      <c r="C45" s="167"/>
      <c r="D45" s="167"/>
      <c r="E45" s="167"/>
      <c r="F45" s="167"/>
      <c r="G45" s="167"/>
    </row>
    <row r="46" spans="1:7" ht="12.75">
      <c r="A46" s="167" t="s">
        <v>5</v>
      </c>
      <c r="B46" s="167" t="s">
        <v>280</v>
      </c>
      <c r="C46" s="167"/>
      <c r="D46" s="167"/>
      <c r="E46" s="167"/>
      <c r="F46" s="167"/>
      <c r="G46" s="167"/>
    </row>
    <row r="47" spans="1:7" ht="12.75">
      <c r="A47" s="167"/>
      <c r="B47" s="167" t="s">
        <v>281</v>
      </c>
      <c r="C47" s="167"/>
      <c r="D47" s="167"/>
      <c r="E47" s="167"/>
      <c r="F47" s="167"/>
      <c r="G47" s="167"/>
    </row>
    <row r="48" spans="1:7" ht="12.75">
      <c r="A48" s="167"/>
      <c r="B48" s="167"/>
      <c r="C48" s="167"/>
      <c r="D48" s="167"/>
      <c r="E48" s="167"/>
      <c r="F48" s="167"/>
      <c r="G48" s="167"/>
    </row>
  </sheetData>
  <mergeCells count="2">
    <mergeCell ref="B10:D10"/>
    <mergeCell ref="E10:G10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scale="99" r:id="rId3"/>
  <headerFooter alignWithMargins="0">
    <oddHeader>&amp;L&amp;"Arial,Standard"Anlage 4 zur Gebührenbedarfsberechnung 2006 lt. BV ......... UA Straßenreinigung</oddHeader>
    <oddFooter>&amp;R&amp;8&amp;D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Mitarbeiter</cp:lastModifiedBy>
  <cp:lastPrinted>2005-09-28T11:52:18Z</cp:lastPrinted>
  <dcterms:created xsi:type="dcterms:W3CDTF">2001-05-25T08:38:25Z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