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580" windowHeight="6030" tabRatio="754" activeTab="2"/>
  </bookViews>
  <sheets>
    <sheet name="BAB 2013" sheetId="1" r:id="rId1"/>
    <sheet name="BAB 2014" sheetId="2" r:id="rId2"/>
    <sheet name="BAB 2013+2014" sheetId="3" r:id="rId3"/>
    <sheet name="Kalkulation" sheetId="4" r:id="rId4"/>
    <sheet name="Anlage 1" sheetId="5" r:id="rId5"/>
    <sheet name="Anlage 2" sheetId="6" r:id="rId6"/>
    <sheet name="Anlage 3" sheetId="7" r:id="rId7"/>
    <sheet name="Anlage 4" sheetId="8" r:id="rId8"/>
  </sheets>
  <definedNames>
    <definedName name="_xlnm.Print_Area" localSheetId="0">'BAB 2013'!$A$1:$L$55</definedName>
    <definedName name="_xlnm.Print_Area" localSheetId="2">'BAB 2013+2014'!$A$1:$L$55</definedName>
    <definedName name="_xlnm.Print_Area" localSheetId="1">'BAB 2014'!$A$1:$L$55</definedName>
    <definedName name="_xlnm.Print_Area" localSheetId="3">'Kalkulation'!$A$1:$O$593</definedName>
    <definedName name="_xlnm.Print_Titles" localSheetId="3">'Kalkulation'!$1:$1</definedName>
  </definedNames>
  <calcPr fullCalcOnLoad="1"/>
</workbook>
</file>

<file path=xl/comments3.xml><?xml version="1.0" encoding="utf-8"?>
<comments xmlns="http://schemas.openxmlformats.org/spreadsheetml/2006/main">
  <authors>
    <author>Mitarbeiter</author>
  </authors>
  <commentList>
    <comment ref="J31" authorId="0">
      <text>
        <r>
          <rPr>
            <sz val="8"/>
            <rFont val="Tahoma"/>
            <family val="0"/>
          </rPr>
          <t>H.Boese
+0,01 Rundungsdifferenz</t>
        </r>
      </text>
    </comment>
    <comment ref="K31" authorId="0">
      <text>
        <r>
          <rPr>
            <sz val="8"/>
            <rFont val="Tahoma"/>
            <family val="0"/>
          </rPr>
          <t>H.Boese 
+0,01 Rundungsdifferenz</t>
        </r>
      </text>
    </comment>
    <comment ref="G31" authorId="0">
      <text>
        <r>
          <rPr>
            <sz val="8"/>
            <rFont val="Tahoma"/>
            <family val="0"/>
          </rPr>
          <t xml:space="preserve">H.Boese
-0,02 Rundungsdifferenz
</t>
        </r>
      </text>
    </comment>
  </commentList>
</comments>
</file>

<file path=xl/comments5.xml><?xml version="1.0" encoding="utf-8"?>
<comments xmlns="http://schemas.openxmlformats.org/spreadsheetml/2006/main">
  <authors>
    <author>Mitarbeiter</author>
  </authors>
  <commentList>
    <comment ref="B75" authorId="0">
      <text>
        <r>
          <rPr>
            <b/>
            <sz val="8"/>
            <rFont val="Tahoma"/>
            <family val="0"/>
          </rPr>
          <t>H.Boese</t>
        </r>
        <r>
          <rPr>
            <sz val="8"/>
            <rFont val="Tahoma"/>
            <family val="0"/>
          </rPr>
          <t xml:space="preserve">
-0,01 Rundungsdifferenz
</t>
        </r>
      </text>
    </comment>
    <comment ref="C107" authorId="0">
      <text>
        <r>
          <rPr>
            <sz val="8"/>
            <rFont val="Tahoma"/>
            <family val="0"/>
          </rPr>
          <t xml:space="preserve">H.Boese
-0,01 Rundungsdifferenz
</t>
        </r>
      </text>
    </comment>
    <comment ref="H107" authorId="0">
      <text>
        <r>
          <rPr>
            <sz val="8"/>
            <rFont val="Tahoma"/>
            <family val="0"/>
          </rPr>
          <t xml:space="preserve">H.Boese 
-0,01 Rundungsdifferenz
</t>
        </r>
      </text>
    </comment>
  </commentList>
</comments>
</file>

<file path=xl/sharedStrings.xml><?xml version="1.0" encoding="utf-8"?>
<sst xmlns="http://schemas.openxmlformats.org/spreadsheetml/2006/main" count="1433" uniqueCount="524">
  <si>
    <t>A.</t>
  </si>
  <si>
    <t>Stadtreinigung Reinigungsklasse 1 "Fußgängerzone"</t>
  </si>
  <si>
    <t>I.</t>
  </si>
  <si>
    <t>Kosten</t>
  </si>
  <si>
    <t>1.</t>
  </si>
  <si>
    <t>Innere Verrechnungen</t>
  </si>
  <si>
    <t>davon:</t>
  </si>
  <si>
    <t>h</t>
  </si>
  <si>
    <t>zuzüglich:</t>
  </si>
  <si>
    <t>Sachkosten</t>
  </si>
  <si>
    <t>Gemeinkosten</t>
  </si>
  <si>
    <t>Technikkosten</t>
  </si>
  <si>
    <t>Stunden</t>
  </si>
  <si>
    <t xml:space="preserve">davon: </t>
  </si>
  <si>
    <t>Umlage</t>
  </si>
  <si>
    <t>Erläuterung siehe Anlage 4</t>
  </si>
  <si>
    <t>Personalkosten Meister Bauhof</t>
  </si>
  <si>
    <t>kalkulatorische Personalkosten der Verwaltung</t>
  </si>
  <si>
    <t>ZS:</t>
  </si>
  <si>
    <t>II.</t>
  </si>
  <si>
    <t>Einnahmen</t>
  </si>
  <si>
    <t>Zuführung vom Vermögenshaushalt</t>
  </si>
  <si>
    <t>Entnahme aus der Sonderrücklage</t>
  </si>
  <si>
    <t>a)</t>
  </si>
  <si>
    <t>umlagefähige Fm</t>
  </si>
  <si>
    <t>b)</t>
  </si>
  <si>
    <t>./. 25% Stadtanteil</t>
  </si>
  <si>
    <t>c)</t>
  </si>
  <si>
    <t>d)</t>
  </si>
  <si>
    <t>e)</t>
  </si>
  <si>
    <t>f)</t>
  </si>
  <si>
    <t>nicht umlagefähige Fm</t>
  </si>
  <si>
    <t>g)</t>
  </si>
  <si>
    <t>III.</t>
  </si>
  <si>
    <t>Gebühren</t>
  </si>
  <si>
    <t>Benutzungsgebühren lt. Ortssatzung</t>
  </si>
  <si>
    <t>zu veranlagende</t>
  </si>
  <si>
    <t>Gebühr je Fm</t>
  </si>
  <si>
    <t>Gebührenein-</t>
  </si>
  <si>
    <t>Frontmeter</t>
  </si>
  <si>
    <t>nahmen ges.</t>
  </si>
  <si>
    <t>h)</t>
  </si>
  <si>
    <t>Wartung und Reparatur Winterdiensttechnik</t>
  </si>
  <si>
    <t>2.</t>
  </si>
  <si>
    <t>manuelle Reinigung</t>
  </si>
  <si>
    <t>h gesamt</t>
  </si>
  <si>
    <t>2.2.</t>
  </si>
  <si>
    <t>2.3.</t>
  </si>
  <si>
    <t>3.</t>
  </si>
  <si>
    <t>UGr 68000</t>
  </si>
  <si>
    <t xml:space="preserve">Abschreibungen des Anlagevermögens </t>
  </si>
  <si>
    <t>für Maschinen und Fahrzeuge</t>
  </si>
  <si>
    <t>UGr 68500</t>
  </si>
  <si>
    <t>Verzinsung des Anlagevermögens</t>
  </si>
  <si>
    <t>C.</t>
  </si>
  <si>
    <t>Unterhaltung Kehrmaschine</t>
  </si>
  <si>
    <t>Dieselkraftstoff</t>
  </si>
  <si>
    <t>Öl-und Schmierstoffe</t>
  </si>
  <si>
    <t>2.1.</t>
  </si>
  <si>
    <t xml:space="preserve">Radlader </t>
  </si>
  <si>
    <t>cbm x</t>
  </si>
  <si>
    <t>Berechnung: Grundlage Äqivalenzziffernkalkulation</t>
  </si>
  <si>
    <t>RK 2</t>
  </si>
  <si>
    <t>=</t>
  </si>
  <si>
    <t>Fm</t>
  </si>
  <si>
    <t>RK 3</t>
  </si>
  <si>
    <t xml:space="preserve">Recheneinheit </t>
  </si>
  <si>
    <t>Ermittlung der Kosten pro Recheneinheit :</t>
  </si>
  <si>
    <t>ist gleich</t>
  </si>
  <si>
    <t>Ausgaben der RK 2+3=</t>
  </si>
  <si>
    <t>je Recheneinheit</t>
  </si>
  <si>
    <t>x</t>
  </si>
  <si>
    <t xml:space="preserve">x </t>
  </si>
  <si>
    <t>ermittelte Gesamtkosten</t>
  </si>
  <si>
    <t>Übertrag: ermittelte Gesamtkosten</t>
  </si>
  <si>
    <t>Rundungsdifferenz</t>
  </si>
  <si>
    <t xml:space="preserve">bei  </t>
  </si>
  <si>
    <t>zu veranlagende Frontmeter (Fm) der RK 2</t>
  </si>
  <si>
    <t>zu veranlagende Frontmeter (Fm) der RK 3</t>
  </si>
  <si>
    <t>i)</t>
  </si>
  <si>
    <t>j)</t>
  </si>
  <si>
    <t>k)</t>
  </si>
  <si>
    <t>l)</t>
  </si>
  <si>
    <t>D.</t>
  </si>
  <si>
    <t xml:space="preserve">manuelle Streuung von Brücken, Fußgängerüberwegen, </t>
  </si>
  <si>
    <t>Geh-und Radwegen (hier kann aufgrund der Unzugäng-</t>
  </si>
  <si>
    <t>lichkeit keine Technik zum Einsatz kommen)</t>
  </si>
  <si>
    <t>Streuung mit Großtechnik</t>
  </si>
  <si>
    <t>Reparatur und Wartung der Winterdiensttechnik</t>
  </si>
  <si>
    <t>1 Opel</t>
  </si>
  <si>
    <t>TF-W 261</t>
  </si>
  <si>
    <t>1 Multicar</t>
  </si>
  <si>
    <t>TF-W 255</t>
  </si>
  <si>
    <t>TF-W 256</t>
  </si>
  <si>
    <t>TF-W 977</t>
  </si>
  <si>
    <t>umlagefähige Kosten</t>
  </si>
  <si>
    <t>nicht umlagefähige</t>
  </si>
  <si>
    <t>F.</t>
  </si>
  <si>
    <t>Fremdleistungen</t>
  </si>
  <si>
    <t>umlagefähige Kosten lt. Rechnungslegung</t>
  </si>
  <si>
    <t>Euro</t>
  </si>
  <si>
    <t>bei</t>
  </si>
  <si>
    <t xml:space="preserve">zu veranlagende Frontmeter (Fm)                  </t>
  </si>
  <si>
    <t xml:space="preserve">Frontmeter x </t>
  </si>
  <si>
    <t xml:space="preserve">manuelle Streuungen </t>
  </si>
  <si>
    <t>Vorbereitung Streumaterial</t>
  </si>
  <si>
    <t>2.1.2.</t>
  </si>
  <si>
    <t>maschinelle Streuungen</t>
  </si>
  <si>
    <t>Streuungen mit mittlerer Technik</t>
  </si>
  <si>
    <t xml:space="preserve">1 Traktor </t>
  </si>
  <si>
    <t>€</t>
  </si>
  <si>
    <t>EUR</t>
  </si>
  <si>
    <t>Euro/h</t>
  </si>
  <si>
    <t>Vergabe der Streuung von Bushaltestellen</t>
  </si>
  <si>
    <t>4.</t>
  </si>
  <si>
    <t>Ausgaben für Dienstleistungen durch Dritte</t>
  </si>
  <si>
    <t>Unter-</t>
  </si>
  <si>
    <t xml:space="preserve">                 Bezeichnung</t>
  </si>
  <si>
    <t>antlg.  auf Jahreswert</t>
  </si>
  <si>
    <t>abschnitt</t>
  </si>
  <si>
    <t>%</t>
  </si>
  <si>
    <t>10% Sachkosten</t>
  </si>
  <si>
    <t>02000</t>
  </si>
  <si>
    <t>Sachkosten für Tul</t>
  </si>
  <si>
    <t>20% Gemeinkosten</t>
  </si>
  <si>
    <t>Steueramt Besoldungsgruppe A 10</t>
  </si>
  <si>
    <t>gesamt in Euro</t>
  </si>
  <si>
    <t xml:space="preserve"> Umlagewerte *</t>
  </si>
  <si>
    <t>Gesamt</t>
  </si>
  <si>
    <t>Anteil Straßenreinigung (90%)</t>
  </si>
  <si>
    <t>Anteil Winterdienst (10%)</t>
  </si>
  <si>
    <t>gesamt</t>
  </si>
  <si>
    <t>RK 1</t>
  </si>
  <si>
    <t>RK 2+3</t>
  </si>
  <si>
    <t>RK 2+3+4</t>
  </si>
  <si>
    <t xml:space="preserve">UGr 68000 Abschreibungen </t>
  </si>
  <si>
    <t xml:space="preserve">UGr 68500 Verzinsungen </t>
  </si>
  <si>
    <t>(Maschinen und Fahrzeuge ausschließlich Winterdienst)</t>
  </si>
  <si>
    <t>Vermögens-</t>
  </si>
  <si>
    <t>Maschinen-bzw.Fahrzeugtyp</t>
  </si>
  <si>
    <t xml:space="preserve">poliz. </t>
  </si>
  <si>
    <t>gruppen-Nr.</t>
  </si>
  <si>
    <t>Kennz.</t>
  </si>
  <si>
    <t>Abschreibungen</t>
  </si>
  <si>
    <t>Verzinsung</t>
  </si>
  <si>
    <t>lt. Anlagenachweis</t>
  </si>
  <si>
    <t>lt. Gebührenbedarfsnachberechnung:</t>
  </si>
  <si>
    <t>Anlage</t>
  </si>
  <si>
    <t>-</t>
  </si>
  <si>
    <t>Schneepflug</t>
  </si>
  <si>
    <t>Anteil Straßenreinigung (0%)</t>
  </si>
  <si>
    <t>Winterdienst (100%)</t>
  </si>
  <si>
    <t>Erläuterungen zu den prozentualen Umlagen</t>
  </si>
  <si>
    <t>Umlageschlüssel Stadtreinigung - Winterdienst:</t>
  </si>
  <si>
    <t xml:space="preserve">Stadtreinigung: </t>
  </si>
  <si>
    <t>Winterdienst:</t>
  </si>
  <si>
    <t>Umlageschlüssel nach Frontmetern:</t>
  </si>
  <si>
    <t xml:space="preserve">Straßenreinigung </t>
  </si>
  <si>
    <t>Winterdienst</t>
  </si>
  <si>
    <t>(A)</t>
  </si>
  <si>
    <t>(C)</t>
  </si>
  <si>
    <t>(D)</t>
  </si>
  <si>
    <t>betrifft</t>
  </si>
  <si>
    <t xml:space="preserve">- Unterhaltung Winterdiensttechnik </t>
  </si>
  <si>
    <t>Umlage nur für Winterdienst</t>
  </si>
  <si>
    <t xml:space="preserve">- Verbrauchsmaterial wie Kies, Granulat, Salz </t>
  </si>
  <si>
    <t>- Postgebühren und Bürobedarf</t>
  </si>
  <si>
    <t>Umlage für Stadtrein. und Winterd.</t>
  </si>
  <si>
    <t>- kalkulatorische Personalkosten der Verwaltung (Anlage 1)</t>
  </si>
  <si>
    <t>Betriebsstunden gesamt</t>
  </si>
  <si>
    <t xml:space="preserve">Stadtreinigung RK 2+3 </t>
  </si>
  <si>
    <t>Kehrung Ausfahrtstraßen u. Sonderleistungen</t>
  </si>
  <si>
    <t>(E)</t>
  </si>
  <si>
    <t>(F)</t>
  </si>
  <si>
    <t>- Leasingleistungen</t>
  </si>
  <si>
    <t>- Unterhaltung Kehrmaschine</t>
  </si>
  <si>
    <t>- Dieselkraftstoff</t>
  </si>
  <si>
    <t>- Öl-und Schmierstoffe</t>
  </si>
  <si>
    <t>- Kfz.-Versicherung und Steuern</t>
  </si>
  <si>
    <t>- Hausgebühren (Deponiekosten u.a. für Kehrgut)</t>
  </si>
  <si>
    <t>- Werkstattkosten Kehrmaschine</t>
  </si>
  <si>
    <t>- Wasserkosten (Auftanken und Reinigung der Kehrmaschine)</t>
  </si>
  <si>
    <t>Postgebühren und Bürobedarf</t>
  </si>
  <si>
    <t>UGr 67900 Innere Verrechnungen (kalkulatorische Kosten der Verwaltung)</t>
  </si>
  <si>
    <t>kalkulatorische Kosten der Verwaltung</t>
  </si>
  <si>
    <t>* prozentuale Umlageschlüssel siehe Anlage 3</t>
  </si>
  <si>
    <t>(in EURO)</t>
  </si>
  <si>
    <t>TF-YH31</t>
  </si>
  <si>
    <t>gesamt:</t>
  </si>
  <si>
    <t>TF-WB 51</t>
  </si>
  <si>
    <t xml:space="preserve"> </t>
  </si>
  <si>
    <t>siehe Anlage 1</t>
  </si>
  <si>
    <t>Personalkosten incl. Sach-und Gemeinkosten, Postgebühren und Bürobedarf</t>
  </si>
  <si>
    <t>Euro/Jahr</t>
  </si>
  <si>
    <t>I.  A u s g a b e n   (in Euro)</t>
  </si>
  <si>
    <t>Untergruppe</t>
  </si>
  <si>
    <t>Bezeichnung</t>
  </si>
  <si>
    <t>Anteil Stadtreinigung</t>
  </si>
  <si>
    <t>Anteil Winterdienst</t>
  </si>
  <si>
    <t>Anteil Kehrung</t>
  </si>
  <si>
    <t>Anteil Fremd-</t>
  </si>
  <si>
    <t>Ausfahrtstraßen</t>
  </si>
  <si>
    <t>leistungen</t>
  </si>
  <si>
    <t>und Sonderreinigung</t>
  </si>
  <si>
    <t>(Sp. 6+9+12+13)</t>
  </si>
  <si>
    <t xml:space="preserve"> (Sp.7+8)</t>
  </si>
  <si>
    <t xml:space="preserve">UA   63000 </t>
  </si>
  <si>
    <t>UA 77100</t>
  </si>
  <si>
    <t xml:space="preserve"> 1.</t>
  </si>
  <si>
    <t xml:space="preserve"> 2.</t>
  </si>
  <si>
    <t>5.</t>
  </si>
  <si>
    <t>6.</t>
  </si>
  <si>
    <t>7.</t>
  </si>
  <si>
    <t>8.</t>
  </si>
  <si>
    <t>9.</t>
  </si>
  <si>
    <t>11.</t>
  </si>
  <si>
    <t>12.</t>
  </si>
  <si>
    <t>A</t>
  </si>
  <si>
    <t>C</t>
  </si>
  <si>
    <t>D</t>
  </si>
  <si>
    <t>E</t>
  </si>
  <si>
    <t>F</t>
  </si>
  <si>
    <t>lfd. Leasingleistungen</t>
  </si>
  <si>
    <t>Wartung u. Rep. Winterdiensttechnik</t>
  </si>
  <si>
    <t>VK und DK</t>
  </si>
  <si>
    <t>Kfz.-Versicherung</t>
  </si>
  <si>
    <t>Verbrauchsmittel</t>
  </si>
  <si>
    <t>II.  E i n n a h m e n  (in Euro)</t>
  </si>
  <si>
    <t>Anteil Stadt-</t>
  </si>
  <si>
    <t>Anteil Winter-</t>
  </si>
  <si>
    <t>reinigung</t>
  </si>
  <si>
    <t>Kostenträger</t>
  </si>
  <si>
    <t>dienst ges.</t>
  </si>
  <si>
    <t xml:space="preserve"> 5.</t>
  </si>
  <si>
    <t xml:space="preserve"> 6.</t>
  </si>
  <si>
    <t xml:space="preserve"> 7.</t>
  </si>
  <si>
    <t xml:space="preserve"> 8.</t>
  </si>
  <si>
    <t xml:space="preserve"> 9.</t>
  </si>
  <si>
    <t>lt. Gebührenbedarfsberechnung:</t>
  </si>
  <si>
    <t>Benutzungsgebühren</t>
  </si>
  <si>
    <t>lt. Ortssatzung</t>
  </si>
  <si>
    <t>davon: -25% Kostenbeteili-</t>
  </si>
  <si>
    <t>gung durch die Stadt Luk (UA 63000)</t>
  </si>
  <si>
    <t>- Rundungsdifferenzen     (UA 63000)</t>
  </si>
  <si>
    <t>- Kostenbeteiligung durch die Stadt</t>
  </si>
  <si>
    <t xml:space="preserve">  für städt. Grundstücke   (UA 63000)</t>
  </si>
  <si>
    <t>- Fremdleistungen   (Einn. UA 77100)</t>
  </si>
  <si>
    <t>Zuführung vom VmH</t>
  </si>
  <si>
    <t>Aufgestellt:</t>
  </si>
  <si>
    <t>.............................................................................</t>
  </si>
  <si>
    <t>Vergabe der Reinigung an Sonntagen</t>
  </si>
  <si>
    <t>siehe Anlage 2</t>
  </si>
  <si>
    <t>á</t>
  </si>
  <si>
    <t>Einsatzstunden</t>
  </si>
  <si>
    <t>Öl- und Schmierstoffe</t>
  </si>
  <si>
    <t>Kfz-Versicherung und -steuern</t>
  </si>
  <si>
    <t>Innere Verrechnungen:</t>
  </si>
  <si>
    <t>1.1  Fahrer</t>
  </si>
  <si>
    <t>2.  Ablagerung Straßenkehricht (zur Entwässerung)</t>
  </si>
  <si>
    <t>2.1  Fahrer Radlader</t>
  </si>
  <si>
    <t>Straßenreinigung RK 2+3</t>
  </si>
  <si>
    <t>Winterdienst                     RK 2+3+4</t>
  </si>
  <si>
    <t>Kehrung Ausfahrt- straßen und Sonder-leistungen</t>
  </si>
  <si>
    <t>lfd. Leasingleistungen der Kehrmaschine:</t>
  </si>
  <si>
    <t>siehe Anlage 3</t>
  </si>
  <si>
    <t xml:space="preserve">Kosten Kehrmaschine </t>
  </si>
  <si>
    <t>Betriebs-, Personal-, Werkstatt- und Wasserkosten, Ablagerung</t>
  </si>
  <si>
    <t>des Straßenkehrichts</t>
  </si>
  <si>
    <t>Bereitschaftsdienst</t>
  </si>
  <si>
    <t>Transp.</t>
  </si>
  <si>
    <t>MAN</t>
  </si>
  <si>
    <t>MB</t>
  </si>
  <si>
    <t>Zwischensumme</t>
  </si>
  <si>
    <t xml:space="preserve">€ </t>
  </si>
  <si>
    <t>TF-YH38</t>
  </si>
  <si>
    <t>Steueramt Entgeltgr.6 (1AK je 0,10 VbE)</t>
  </si>
  <si>
    <t>Personalkosten Fahrer Traktor "John Deere", Entgeltgr.4</t>
  </si>
  <si>
    <t xml:space="preserve">Personalkosten Streu-und Räumtechnik,Entgeltgr.5 </t>
  </si>
  <si>
    <t>Personalkosten Streu-und Räumtechnik, Entgeltgr.4</t>
  </si>
  <si>
    <t>Personalkosten Beladetechnik, Entgeltgr.5</t>
  </si>
  <si>
    <t>Vorbereitung Streumaterial, Entgeltgr.5</t>
  </si>
  <si>
    <t>Personalkosten Schlosser,Entgeltgr.5</t>
  </si>
  <si>
    <t>div. AK Entgeltgr.4</t>
  </si>
  <si>
    <t>div. AK Entgeltgr.5</t>
  </si>
  <si>
    <t xml:space="preserve"> 2+3+4</t>
  </si>
  <si>
    <t>RK 1,</t>
  </si>
  <si>
    <t>Winterdienst Reinigungsklasse 1 2,3 und 4</t>
  </si>
  <si>
    <t>E.</t>
  </si>
  <si>
    <t>Jahresbruttowert (100%)</t>
  </si>
  <si>
    <t>Jahresbruttowert(100%)</t>
  </si>
  <si>
    <t>"J.D."955</t>
  </si>
  <si>
    <t>"J.D." 4310</t>
  </si>
  <si>
    <t>2.2  Technikkosten</t>
  </si>
  <si>
    <t>Streugut-Beladung u. Aufbereitung</t>
  </si>
  <si>
    <t xml:space="preserve"> (Sp.10)</t>
  </si>
  <si>
    <t>(Anteil städt. Grundstücke)</t>
  </si>
  <si>
    <t>Gebühr je Frontmeter</t>
  </si>
  <si>
    <t>Rundungsdifferenz (Sp. c ./. e./. f)</t>
  </si>
  <si>
    <t>m)</t>
  </si>
  <si>
    <t>n)</t>
  </si>
  <si>
    <t>Rundungsdifferenz (Sp.c ./. e ./. f )</t>
  </si>
  <si>
    <t>Rundungsdifferenz (Sp. j ./. l ./. m)</t>
  </si>
  <si>
    <t>Rundungsdifferenz (Sp. c ./. e ./. f)</t>
  </si>
  <si>
    <t>Terex</t>
  </si>
  <si>
    <t>Konto 529140</t>
  </si>
  <si>
    <t>Konto 581110</t>
  </si>
  <si>
    <t>Konto 359998</t>
  </si>
  <si>
    <t>Konto 432120</t>
  </si>
  <si>
    <t>div. Konten</t>
  </si>
  <si>
    <t>Konto 541120</t>
  </si>
  <si>
    <t>Konto 525110</t>
  </si>
  <si>
    <t>Konto 528110</t>
  </si>
  <si>
    <t>Produkt 54500 "Straßenreinigung"</t>
  </si>
  <si>
    <t>Konten</t>
  </si>
  <si>
    <t>Konto 525120</t>
  </si>
  <si>
    <t>Konto 525130</t>
  </si>
  <si>
    <t>Konto 525140</t>
  </si>
  <si>
    <t>Konto 524190</t>
  </si>
  <si>
    <t>Kto. 525110</t>
  </si>
  <si>
    <t>Kto. 528110</t>
  </si>
  <si>
    <t>Kto. 581110</t>
  </si>
  <si>
    <t xml:space="preserve">   Aufwendungen aus internen Leistungsbeziehungen</t>
  </si>
  <si>
    <t>Kto. 523200</t>
  </si>
  <si>
    <t>Kto. 525120</t>
  </si>
  <si>
    <t>Kto. 525130</t>
  </si>
  <si>
    <t>Kto. 525140</t>
  </si>
  <si>
    <t>Kto. 524190</t>
  </si>
  <si>
    <t>UGr 57200</t>
  </si>
  <si>
    <t>UGr. 67900</t>
  </si>
  <si>
    <t>UGr. 28006</t>
  </si>
  <si>
    <t>UGr. 11200</t>
  </si>
  <si>
    <t>div. UGr.</t>
  </si>
  <si>
    <t>UGr. 46100</t>
  </si>
  <si>
    <t>UGr. 55100</t>
  </si>
  <si>
    <t>UGr. 5700</t>
  </si>
  <si>
    <t>UGr. 57200</t>
  </si>
  <si>
    <t>1 Meister,  (100%)</t>
  </si>
  <si>
    <t xml:space="preserve">UGr. </t>
  </si>
  <si>
    <t>Konto 581110/UGr. 67900</t>
  </si>
  <si>
    <t xml:space="preserve"> UGr. 55101  </t>
  </si>
  <si>
    <t xml:space="preserve"> UGr. 53300</t>
  </si>
  <si>
    <t xml:space="preserve"> UGr. 55200 </t>
  </si>
  <si>
    <t xml:space="preserve"> UGr. 55300 </t>
  </si>
  <si>
    <t xml:space="preserve"> UGr. 55400</t>
  </si>
  <si>
    <t xml:space="preserve"> UGr. 58900</t>
  </si>
  <si>
    <t xml:space="preserve"> UGr. 67900</t>
  </si>
  <si>
    <t>TF-SL 96</t>
  </si>
  <si>
    <t>10.</t>
  </si>
  <si>
    <t xml:space="preserve"> 10.</t>
  </si>
  <si>
    <t>Abschreibungen(Produkt 61300)</t>
  </si>
  <si>
    <t>Verzinsung (produkt 61300)</t>
  </si>
  <si>
    <t xml:space="preserve">Innere Verrechnungen (Produkt 54500) </t>
  </si>
  <si>
    <t>City Cate</t>
  </si>
  <si>
    <t>manuelle Reinigung der Parkbuchten (Fremdvergabe)</t>
  </si>
  <si>
    <t>TF-V 898</t>
  </si>
  <si>
    <t>TF-IJ 29</t>
  </si>
  <si>
    <t>1 City Cate</t>
  </si>
  <si>
    <t>TF V 898</t>
  </si>
  <si>
    <t>Streusalzsilo</t>
  </si>
  <si>
    <t>WD Behindertenparkplätze</t>
  </si>
  <si>
    <t>1.2  Werkstatt / Personalkosten Schlosser</t>
  </si>
  <si>
    <t>1.3  Wasserkosten</t>
  </si>
  <si>
    <t>Personalkosten Bauverw.</t>
  </si>
  <si>
    <t>Personalkosten</t>
  </si>
  <si>
    <t>Leiter Bauhof Entgelt gr. 9</t>
  </si>
  <si>
    <t>Sachbearbeiterin Bauhof Entgeltgr. 6</t>
  </si>
  <si>
    <t>WD OT Kolzenburg u.Frankenfelde</t>
  </si>
  <si>
    <t>Konto 528112</t>
  </si>
  <si>
    <t>Streugut WD (Kies,Granulat)</t>
  </si>
  <si>
    <t xml:space="preserve">Verbrauchsmittel </t>
  </si>
  <si>
    <t>Konto 522230</t>
  </si>
  <si>
    <t>Arbeitsgeräte</t>
  </si>
  <si>
    <t xml:space="preserve">Stadtreinigung Reinigungsklasse 2 </t>
  </si>
  <si>
    <t xml:space="preserve">Stadtreinigung Reinigungsklasse 3 </t>
  </si>
  <si>
    <t>Konto 523120</t>
  </si>
  <si>
    <t>Mieten f. Maschinen u. Geräte</t>
  </si>
  <si>
    <t>Konto 529190</t>
  </si>
  <si>
    <t>Sonstige Dienstleistungen</t>
  </si>
  <si>
    <t>5.1.</t>
  </si>
  <si>
    <t>5.1.1.</t>
  </si>
  <si>
    <t>5.1.2.</t>
  </si>
  <si>
    <t>5.2.</t>
  </si>
  <si>
    <t>5.3.</t>
  </si>
  <si>
    <t>11.1</t>
  </si>
  <si>
    <t>11.1.1</t>
  </si>
  <si>
    <t>11.1.1.1</t>
  </si>
  <si>
    <t>11.2</t>
  </si>
  <si>
    <t>11.2.1</t>
  </si>
  <si>
    <t>11.2.1.1</t>
  </si>
  <si>
    <t>11.2.1.2</t>
  </si>
  <si>
    <t>11.2.2</t>
  </si>
  <si>
    <t>11.2.2.1</t>
  </si>
  <si>
    <t>11.2.3</t>
  </si>
  <si>
    <t>11.2.3.1</t>
  </si>
  <si>
    <t>11.2.4</t>
  </si>
  <si>
    <t>11.2.4.1.</t>
  </si>
  <si>
    <t>11.2.4.2.</t>
  </si>
  <si>
    <t>11.3.</t>
  </si>
  <si>
    <t>11.4.</t>
  </si>
  <si>
    <t>13.</t>
  </si>
  <si>
    <t>Rufbereitschaft</t>
  </si>
  <si>
    <t>Leasingrate Salzsilo +Soleerzeuger</t>
  </si>
  <si>
    <t>11.6.</t>
  </si>
  <si>
    <t>Kämmerei Entgeltgr.8 (1AK je 0,20 VbE)</t>
  </si>
  <si>
    <t>Leasingrate Salzsilo + Soleerzeuger</t>
  </si>
  <si>
    <t>Kosten  insgesamt (Sp.b + e + f + g)</t>
  </si>
  <si>
    <t>Kosten insgesamt  Winterdienst</t>
  </si>
  <si>
    <t>RK 2 - Kosten  insgesamt (Sp.b + e + f + g)</t>
  </si>
  <si>
    <t xml:space="preserve">Kosten   insgesamt </t>
  </si>
  <si>
    <t>Kosten    insgesamt</t>
  </si>
  <si>
    <t>Sonderleistungen nicht umlagefähig</t>
  </si>
  <si>
    <t xml:space="preserve">Reinigung der selbstständigen Radwege </t>
  </si>
  <si>
    <t>Kalk. Geb.Satz.</t>
  </si>
  <si>
    <t>Plan 2013</t>
  </si>
  <si>
    <t>Plan 2014</t>
  </si>
  <si>
    <t>2013 + 2014</t>
  </si>
  <si>
    <t>Fußgängerzone 2013</t>
  </si>
  <si>
    <t>Fußgängerzone 2014</t>
  </si>
  <si>
    <t>Fußgängerzone Gebühren 2013 + 2014</t>
  </si>
  <si>
    <t>Kosten 2013, 2014 + Geb.Satz 2014 insgesamt (ohne Winterdienst)</t>
  </si>
  <si>
    <t>Kosten 2013,2014 + Geb.Satz 2014 insgesamt (ohne Winterdienst)</t>
  </si>
  <si>
    <t>Berechnung für 2013</t>
  </si>
  <si>
    <t>abzüglich Kosten 2013 insgesamt</t>
  </si>
  <si>
    <t>RK 2 - Kosten 2013 insgesamt (Sp.b + e+ f + g)</t>
  </si>
  <si>
    <t>RK 3 - Kosten 2013 insgesamt (Sp.i + l + m + n)</t>
  </si>
  <si>
    <t>RK 2 2013</t>
  </si>
  <si>
    <t>RK 3 2013</t>
  </si>
  <si>
    <t>Berechnung für 2014</t>
  </si>
  <si>
    <t>abzüglich Kosten 2014 insgesamt</t>
  </si>
  <si>
    <t>RK 2 - Kosten 2014 insgesamt (Sp.b + e+ f + g)</t>
  </si>
  <si>
    <t>RK 3 - Kosten 2014 insgesamt (Sp.i + l + m + n)</t>
  </si>
  <si>
    <t>RK 2 2014</t>
  </si>
  <si>
    <t>RK 3 2014</t>
  </si>
  <si>
    <t>Berechnung für Kalk. Geb.Satz. 2013 + 2014</t>
  </si>
  <si>
    <t>abzüglich Kosten Kalk. Geb. Satz. 2013 + 2014 insgesamt</t>
  </si>
  <si>
    <t>RK 3 - Kosten Kalk. Geb.Satz. 2013 + 2014 insgesamt (Sp.i + l + m + n)</t>
  </si>
  <si>
    <t>RK 2 Gebühr 2013 + 2014</t>
  </si>
  <si>
    <t>RK 1,2,3 u. 4(Winterdienst ) 2013</t>
  </si>
  <si>
    <t>RK 1,2,3 u. 4(Winterdienst ) 2014</t>
  </si>
  <si>
    <t>RK 1,2,3 u. 4(Winterdienst ) Gebühr 2013 + 2014</t>
  </si>
  <si>
    <t>Umlage Betriebskosten der Kehrmaschine für die Kalk. Geb.Satz. 2013 + 2014</t>
  </si>
  <si>
    <t>Gesamtwert 13 + 14</t>
  </si>
  <si>
    <t>Stundenw.2013</t>
  </si>
  <si>
    <t>Stundenw.2014</t>
  </si>
  <si>
    <t>Gesamtwert 2013</t>
  </si>
  <si>
    <t>Gesamtwert 2014</t>
  </si>
  <si>
    <t>Betriebskosten gesamt f. 2013 /2014</t>
  </si>
  <si>
    <t xml:space="preserve"> Umlagewerte * 2013</t>
  </si>
  <si>
    <t xml:space="preserve"> Umlagewerte * 2014</t>
  </si>
  <si>
    <t xml:space="preserve"> Umlagewerte * Kalk. Geb.Satz. 2013 + 2014</t>
  </si>
  <si>
    <t xml:space="preserve">Kalk. Gebührensatz. 2013 + 2014 </t>
  </si>
  <si>
    <t>RK 3 Gebühr 2013 + 2014</t>
  </si>
  <si>
    <t xml:space="preserve"> Umlagewerte Personalkosten Bauverwaltung *2013</t>
  </si>
  <si>
    <t>Konto 523211</t>
  </si>
  <si>
    <t>Konto 525111</t>
  </si>
  <si>
    <t>Sonst. Bewirtschaftungsaufw. (Deponiekosten u.a. für Kehrgut):</t>
  </si>
  <si>
    <t>Sonst. Bewirtschaftungsaufw.</t>
  </si>
  <si>
    <t>Pick-UP</t>
  </si>
  <si>
    <t>TF-WJ 99</t>
  </si>
  <si>
    <t xml:space="preserve">(Äquivalenzziffer für 14-tägigen Einsatz Einsatz)     </t>
  </si>
  <si>
    <t>(Äquivalenzziffer für 1x wöchentlichen Einsatz)</t>
  </si>
  <si>
    <t>(Äquivalenzziffer für 1 x wöchentlichen Einsatz)</t>
  </si>
  <si>
    <t xml:space="preserve">(Äquivalenzziffer für 14 - tägigen  Einsatz)     </t>
  </si>
  <si>
    <t xml:space="preserve">(Äquivalenzziffer für 14-tägigen Einsatz)     </t>
  </si>
  <si>
    <t>Winterdienst RK 1+2+3+4</t>
  </si>
  <si>
    <t>Radlader Terex</t>
  </si>
  <si>
    <t>LKW TF-WB 51</t>
  </si>
  <si>
    <t>Radlader Zettelmeyer</t>
  </si>
  <si>
    <t xml:space="preserve"> Umlagewerte Arbeitsgeräte *für 2013 + 2014</t>
  </si>
  <si>
    <t>LKW</t>
  </si>
  <si>
    <t xml:space="preserve">manuelle Reinigung </t>
  </si>
  <si>
    <t>Personalkosten Handarbeitskraft</t>
  </si>
  <si>
    <t>div. AK Entgeltgr. 4</t>
  </si>
  <si>
    <t>5.1.3.</t>
  </si>
  <si>
    <t>5.1.4.</t>
  </si>
  <si>
    <t>John Deere</t>
  </si>
  <si>
    <t>Kipper</t>
  </si>
  <si>
    <t>TF-UW 33</t>
  </si>
  <si>
    <t>TF-YH 31</t>
  </si>
  <si>
    <t>Zugm.J.D.</t>
  </si>
  <si>
    <t>UP 86</t>
  </si>
  <si>
    <t>Multicar</t>
  </si>
  <si>
    <t xml:space="preserve">div. AK </t>
  </si>
  <si>
    <t>mittlere Technik, TraktI, II und Beschickung</t>
  </si>
  <si>
    <t>Personalkosten Entgeltgr. 5</t>
  </si>
  <si>
    <t>John Deere 955</t>
  </si>
  <si>
    <t xml:space="preserve">John Deere </t>
  </si>
  <si>
    <t>TF - UP 86</t>
  </si>
  <si>
    <t>City-Cat</t>
  </si>
  <si>
    <t>TF-V898</t>
  </si>
  <si>
    <t>Pflege der Winterdiensttechnik</t>
  </si>
  <si>
    <t>div AK</t>
  </si>
  <si>
    <t>Opel Caravan TF-UW 17</t>
  </si>
  <si>
    <t>PKW Golf</t>
  </si>
  <si>
    <t xml:space="preserve">   TF-W 240</t>
  </si>
  <si>
    <t>Bauverwaltung (2AK 0,12 VbE)</t>
  </si>
  <si>
    <t>div. Arbeiter, Entgeltgr.4</t>
  </si>
  <si>
    <t>div. AK</t>
  </si>
  <si>
    <t>Kassenamt (6AK 50h )</t>
  </si>
  <si>
    <t xml:space="preserve"> Umlagewerte Personalkosten Bauverwaltung *2014</t>
  </si>
  <si>
    <t xml:space="preserve"> Umlagewerte Personalkosten Bauverwaltung *Kalk. Geb. Satz 2013 + 2014</t>
  </si>
  <si>
    <t xml:space="preserve"> Umlagewerte * 2014 Kosten der Verwaltung</t>
  </si>
  <si>
    <t xml:space="preserve"> Umlagewerte * Kalk. Geb. Satz 2013 + 2014 Kosten der Verwaltung</t>
  </si>
  <si>
    <t>Bauwagen</t>
  </si>
  <si>
    <t>Streugutbehälter</t>
  </si>
  <si>
    <t xml:space="preserve"> Umlagewerte *2013 Kosten der Verwaltung</t>
  </si>
  <si>
    <t xml:space="preserve">Kalk. Gebührensatz. 2014 </t>
  </si>
  <si>
    <t xml:space="preserve">Kalk. Gebührensatz. 2013  </t>
  </si>
  <si>
    <t>Personalkosten Handarbeitskraft, Entgeltgr.4</t>
  </si>
  <si>
    <r>
      <t>RK 2 - Kosten Kalk. Geb.Satz. 2013 + 2014</t>
    </r>
    <r>
      <rPr>
        <b/>
        <sz val="10"/>
        <rFont val="Arial"/>
        <family val="2"/>
      </rPr>
      <t xml:space="preserve"> i</t>
    </r>
    <r>
      <rPr>
        <sz val="10"/>
        <rFont val="Arial"/>
        <family val="2"/>
      </rPr>
      <t>nsgesamt (Sp.b + e+ f + g)</t>
    </r>
  </si>
  <si>
    <t>Toyota</t>
  </si>
  <si>
    <t>TF-V 318</t>
  </si>
  <si>
    <t xml:space="preserve">Kalk. Plan </t>
  </si>
  <si>
    <t>Defizit aus Hochrechnung 2012</t>
  </si>
  <si>
    <t>Adomat / SB 20.1</t>
  </si>
  <si>
    <t xml:space="preserve"> Adomat  SB 20.1</t>
  </si>
  <si>
    <t xml:space="preserve">Defizit aus 2012 (Hochrechnung) anteilig f. </t>
  </si>
  <si>
    <t xml:space="preserve">Defizit aus 2012 (Hochrechnung) anteilig </t>
  </si>
  <si>
    <t>(gesamt 142.342,55 € zu je 1/4)</t>
  </si>
  <si>
    <t>Defizit 1/4 35.585,64 €</t>
  </si>
  <si>
    <t>für 2013 35.585,64 und 2014 35.585,64</t>
  </si>
  <si>
    <t>Defizit 1/4 35.585,64</t>
  </si>
  <si>
    <t>2013 35585,64 €</t>
  </si>
  <si>
    <t>Defizit aus 2012 (Hochrechnung) anteilig für 2014 35.585,64 €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</si>
</sst>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_);[Red]\(#,##0\)"/>
    <numFmt numFmtId="173" formatCode="#,##0.00_);[Red]\(#,##0.00\)"/>
    <numFmt numFmtId="174" formatCode="&quot; DM&quot;#,##0_);[Red]\(&quot; DM&quot;#,##0\)"/>
    <numFmt numFmtId="175" formatCode="&quot; DM&quot;#,##0.00_);\(&quot; DM&quot;#,##0.00\)"/>
    <numFmt numFmtId="176" formatCode="&quot; DM&quot;#,##0.00_);[Red]\(&quot; DM&quot;#,##0.00\)"/>
    <numFmt numFmtId="177" formatCode="#,##0.00\ &quot;EUR&quot;"/>
    <numFmt numFmtId="178" formatCode="#,##0.00_ ;\-#,##0.00\ "/>
    <numFmt numFmtId="179" formatCode="0.00_ ;\-0.00\ "/>
    <numFmt numFmtId="180" formatCode="#,##0\ _c_b_m"/>
    <numFmt numFmtId="181" formatCode="#,##0.00\ &quot;€&quot;"/>
    <numFmt numFmtId="182" formatCode="#,##0.00\ [$€-407]"/>
    <numFmt numFmtId="183" formatCode="#,##0.00\ _€"/>
    <numFmt numFmtId="184" formatCode="#,##0.00;[Red]#,##0.00"/>
  </numFmts>
  <fonts count="68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b/>
      <sz val="10"/>
      <name val="Arial"/>
      <family val="0"/>
    </font>
    <font>
      <sz val="6"/>
      <name val="Arial"/>
      <family val="0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b/>
      <sz val="12"/>
      <name val="Arial"/>
      <family val="0"/>
    </font>
    <font>
      <b/>
      <sz val="6"/>
      <name val="Arial"/>
      <family val="0"/>
    </font>
    <font>
      <b/>
      <i/>
      <sz val="10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color indexed="57"/>
      <name val="Arial"/>
      <family val="2"/>
    </font>
    <font>
      <sz val="6"/>
      <color indexed="17"/>
      <name val="Arial"/>
      <family val="2"/>
    </font>
    <font>
      <u val="single"/>
      <sz val="6"/>
      <name val="Arial"/>
      <family val="2"/>
    </font>
    <font>
      <b/>
      <sz val="10"/>
      <color indexed="11"/>
      <name val="Arial"/>
      <family val="2"/>
    </font>
    <font>
      <sz val="10"/>
      <color indexed="11"/>
      <name val="Arial"/>
      <family val="2"/>
    </font>
    <font>
      <sz val="8"/>
      <color indexed="11"/>
      <name val="Arial"/>
      <family val="2"/>
    </font>
    <font>
      <sz val="6"/>
      <color indexed="11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b/>
      <sz val="6"/>
      <color indexed="11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6"/>
      <color indexed="8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MS Sans Serif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6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54" fillId="27" borderId="2" applyNumberFormat="0" applyAlignment="0" applyProtection="0"/>
    <xf numFmtId="0" fontId="55" fillId="0" borderId="3" applyNumberFormat="0" applyFill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5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9" fillId="31" borderId="0" applyNumberFormat="0" applyBorder="0" applyAlignment="0" applyProtection="0"/>
    <xf numFmtId="0" fontId="0" fillId="0" borderId="0">
      <alignment/>
      <protection/>
    </xf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32" borderId="9" applyNumberFormat="0" applyAlignment="0" applyProtection="0"/>
  </cellStyleXfs>
  <cellXfs count="686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173" fontId="5" fillId="0" borderId="0" xfId="41" applyFont="1" applyBorder="1" applyAlignment="1">
      <alignment/>
    </xf>
    <xf numFmtId="173" fontId="5" fillId="0" borderId="10" xfId="41" applyFont="1" applyBorder="1" applyAlignment="1">
      <alignment/>
    </xf>
    <xf numFmtId="0" fontId="5" fillId="0" borderId="0" xfId="0" applyFont="1" applyBorder="1" applyAlignment="1">
      <alignment/>
    </xf>
    <xf numFmtId="173" fontId="8" fillId="0" borderId="0" xfId="41" applyFont="1" applyBorder="1" applyAlignment="1">
      <alignment horizontal="right" wrapText="1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173" fontId="8" fillId="0" borderId="0" xfId="41" applyFont="1" applyBorder="1" applyAlignment="1">
      <alignment/>
    </xf>
    <xf numFmtId="173" fontId="5" fillId="0" borderId="0" xfId="41" applyFont="1" applyBorder="1" applyAlignment="1">
      <alignment horizontal="center"/>
    </xf>
    <xf numFmtId="0" fontId="4" fillId="0" borderId="0" xfId="0" applyFont="1" applyBorder="1" applyAlignment="1">
      <alignment/>
    </xf>
    <xf numFmtId="173" fontId="5" fillId="0" borderId="10" xfId="41" applyFont="1" applyBorder="1" applyAlignment="1">
      <alignment horizontal="center"/>
    </xf>
    <xf numFmtId="0" fontId="6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173" fontId="10" fillId="0" borderId="0" xfId="41" applyFont="1" applyBorder="1" applyAlignment="1">
      <alignment horizontal="center"/>
    </xf>
    <xf numFmtId="173" fontId="10" fillId="0" borderId="0" xfId="41" applyFont="1" applyBorder="1" applyAlignment="1">
      <alignment/>
    </xf>
    <xf numFmtId="0" fontId="10" fillId="0" borderId="0" xfId="0" applyFont="1" applyBorder="1" applyAlignment="1">
      <alignment horizontal="left"/>
    </xf>
    <xf numFmtId="0" fontId="12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10" fillId="0" borderId="11" xfId="0" applyFont="1" applyBorder="1" applyAlignment="1">
      <alignment horizontal="center"/>
    </xf>
    <xf numFmtId="0" fontId="10" fillId="0" borderId="12" xfId="0" applyFont="1" applyBorder="1" applyAlignment="1">
      <alignment/>
    </xf>
    <xf numFmtId="0" fontId="10" fillId="0" borderId="13" xfId="0" applyFont="1" applyBorder="1" applyAlignment="1" applyProtection="1">
      <alignment/>
      <protection locked="0"/>
    </xf>
    <xf numFmtId="0" fontId="10" fillId="0" borderId="14" xfId="0" applyFont="1" applyBorder="1" applyAlignment="1" applyProtection="1">
      <alignment/>
      <protection locked="0"/>
    </xf>
    <xf numFmtId="0" fontId="10" fillId="0" borderId="15" xfId="0" applyFont="1" applyBorder="1" applyAlignment="1">
      <alignment horizontal="center"/>
    </xf>
    <xf numFmtId="0" fontId="10" fillId="0" borderId="16" xfId="0" applyFont="1" applyBorder="1" applyAlignment="1" applyProtection="1">
      <alignment/>
      <protection locked="0"/>
    </xf>
    <xf numFmtId="0" fontId="10" fillId="0" borderId="0" xfId="0" applyFont="1" applyBorder="1" applyAlignment="1" applyProtection="1">
      <alignment/>
      <protection locked="0"/>
    </xf>
    <xf numFmtId="0" fontId="10" fillId="0" borderId="17" xfId="0" applyFont="1" applyBorder="1" applyAlignment="1" applyProtection="1">
      <alignment/>
      <protection locked="0"/>
    </xf>
    <xf numFmtId="0" fontId="10" fillId="0" borderId="18" xfId="0" applyFont="1" applyBorder="1" applyAlignment="1">
      <alignment horizontal="center"/>
    </xf>
    <xf numFmtId="0" fontId="10" fillId="0" borderId="19" xfId="0" applyFont="1" applyFill="1" applyBorder="1" applyAlignment="1" applyProtection="1">
      <alignment/>
      <protection locked="0"/>
    </xf>
    <xf numFmtId="0" fontId="10" fillId="0" borderId="15" xfId="0" applyFont="1" applyBorder="1" applyAlignment="1" applyProtection="1">
      <alignment horizontal="center"/>
      <protection locked="0"/>
    </xf>
    <xf numFmtId="0" fontId="10" fillId="0" borderId="11" xfId="0" applyFont="1" applyFill="1" applyBorder="1" applyAlignment="1" applyProtection="1">
      <alignment/>
      <protection locked="0"/>
    </xf>
    <xf numFmtId="0" fontId="10" fillId="0" borderId="15" xfId="0" applyFont="1" applyFill="1" applyBorder="1" applyAlignment="1">
      <alignment horizontal="center"/>
    </xf>
    <xf numFmtId="0" fontId="10" fillId="0" borderId="20" xfId="0" applyFont="1" applyBorder="1" applyAlignment="1" applyProtection="1">
      <alignment horizontal="center"/>
      <protection locked="0"/>
    </xf>
    <xf numFmtId="0" fontId="10" fillId="0" borderId="18" xfId="0" applyFont="1" applyBorder="1" applyAlignment="1" applyProtection="1">
      <alignment/>
      <protection locked="0"/>
    </xf>
    <xf numFmtId="0" fontId="10" fillId="0" borderId="10" xfId="0" applyFont="1" applyBorder="1" applyAlignment="1" applyProtection="1">
      <alignment/>
      <protection locked="0"/>
    </xf>
    <xf numFmtId="0" fontId="10" fillId="0" borderId="19" xfId="0" applyFont="1" applyBorder="1" applyAlignment="1" applyProtection="1">
      <alignment/>
      <protection locked="0"/>
    </xf>
    <xf numFmtId="0" fontId="10" fillId="0" borderId="20" xfId="0" applyFont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13" fillId="0" borderId="0" xfId="0" applyFont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/>
      <protection locked="0"/>
    </xf>
    <xf numFmtId="173" fontId="10" fillId="0" borderId="15" xfId="41" applyFont="1" applyBorder="1" applyAlignment="1" applyProtection="1">
      <alignment horizontal="center"/>
      <protection locked="0"/>
    </xf>
    <xf numFmtId="173" fontId="10" fillId="0" borderId="15" xfId="41" applyFont="1" applyBorder="1" applyAlignment="1">
      <alignment horizontal="center"/>
    </xf>
    <xf numFmtId="9" fontId="10" fillId="0" borderId="15" xfId="0" applyNumberFormat="1" applyFont="1" applyBorder="1" applyAlignment="1">
      <alignment horizontal="center"/>
    </xf>
    <xf numFmtId="173" fontId="10" fillId="0" borderId="15" xfId="41" applyFont="1" applyFill="1" applyBorder="1" applyAlignment="1">
      <alignment/>
    </xf>
    <xf numFmtId="0" fontId="6" fillId="0" borderId="0" xfId="0" applyFont="1" applyBorder="1" applyAlignment="1" applyProtection="1">
      <alignment horizontal="left"/>
      <protection locked="0"/>
    </xf>
    <xf numFmtId="0" fontId="6" fillId="0" borderId="0" xfId="0" applyFont="1" applyBorder="1" applyAlignment="1" applyProtection="1">
      <alignment/>
      <protection locked="0"/>
    </xf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/>
    </xf>
    <xf numFmtId="0" fontId="13" fillId="0" borderId="0" xfId="0" applyFont="1" applyBorder="1" applyAlignment="1" applyProtection="1">
      <alignment/>
      <protection locked="0"/>
    </xf>
    <xf numFmtId="10" fontId="13" fillId="0" borderId="0" xfId="0" applyNumberFormat="1" applyFont="1" applyBorder="1" applyAlignment="1">
      <alignment horizontal="center"/>
    </xf>
    <xf numFmtId="173" fontId="13" fillId="0" borderId="0" xfId="41" applyFont="1" applyFill="1" applyBorder="1" applyAlignment="1">
      <alignment horizontal="right"/>
    </xf>
    <xf numFmtId="0" fontId="14" fillId="0" borderId="21" xfId="0" applyFont="1" applyBorder="1" applyAlignment="1">
      <alignment horizontal="left" vertical="center"/>
    </xf>
    <xf numFmtId="0" fontId="13" fillId="0" borderId="22" xfId="0" applyFont="1" applyBorder="1" applyAlignment="1">
      <alignment/>
    </xf>
    <xf numFmtId="0" fontId="13" fillId="0" borderId="22" xfId="0" applyFont="1" applyBorder="1" applyAlignment="1" applyProtection="1">
      <alignment/>
      <protection locked="0"/>
    </xf>
    <xf numFmtId="0" fontId="9" fillId="0" borderId="15" xfId="0" applyFont="1" applyBorder="1" applyAlignment="1" applyProtection="1">
      <alignment/>
      <protection locked="0"/>
    </xf>
    <xf numFmtId="10" fontId="9" fillId="0" borderId="15" xfId="0" applyNumberFormat="1" applyFont="1" applyBorder="1" applyAlignment="1">
      <alignment horizontal="center"/>
    </xf>
    <xf numFmtId="173" fontId="9" fillId="0" borderId="15" xfId="41" applyFont="1" applyFill="1" applyBorder="1" applyAlignment="1">
      <alignment horizontal="right"/>
    </xf>
    <xf numFmtId="0" fontId="9" fillId="0" borderId="20" xfId="0" applyFont="1" applyBorder="1" applyAlignment="1" applyProtection="1">
      <alignment/>
      <protection locked="0"/>
    </xf>
    <xf numFmtId="10" fontId="9" fillId="0" borderId="20" xfId="0" applyNumberFormat="1" applyFont="1" applyBorder="1" applyAlignment="1">
      <alignment horizontal="center"/>
    </xf>
    <xf numFmtId="173" fontId="9" fillId="0" borderId="20" xfId="41" applyFont="1" applyFill="1" applyBorder="1" applyAlignment="1">
      <alignment horizontal="right"/>
    </xf>
    <xf numFmtId="4" fontId="13" fillId="0" borderId="0" xfId="0" applyNumberFormat="1" applyFont="1" applyBorder="1" applyAlignment="1">
      <alignment horizontal="right"/>
    </xf>
    <xf numFmtId="9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3" fillId="0" borderId="23" xfId="0" applyFont="1" applyBorder="1" applyAlignment="1">
      <alignment/>
    </xf>
    <xf numFmtId="4" fontId="9" fillId="0" borderId="0" xfId="0" applyNumberFormat="1" applyFont="1" applyBorder="1" applyAlignment="1">
      <alignment horizontal="center" vertical="center" wrapText="1"/>
    </xf>
    <xf numFmtId="10" fontId="9" fillId="0" borderId="0" xfId="0" applyNumberFormat="1" applyFont="1" applyBorder="1" applyAlignment="1">
      <alignment horizontal="center" wrapText="1"/>
    </xf>
    <xf numFmtId="173" fontId="9" fillId="0" borderId="0" xfId="41" applyFont="1" applyFill="1" applyBorder="1" applyAlignment="1">
      <alignment horizontal="center" wrapText="1"/>
    </xf>
    <xf numFmtId="10" fontId="9" fillId="0" borderId="0" xfId="0" applyNumberFormat="1" applyFont="1" applyBorder="1" applyAlignment="1">
      <alignment horizontal="center" vertical="center" wrapText="1"/>
    </xf>
    <xf numFmtId="10" fontId="9" fillId="0" borderId="0" xfId="41" applyNumberFormat="1" applyFont="1" applyFill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center"/>
    </xf>
    <xf numFmtId="4" fontId="9" fillId="0" borderId="0" xfId="41" applyNumberFormat="1" applyFon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10" fontId="9" fillId="0" borderId="13" xfId="0" applyNumberFormat="1" applyFont="1" applyBorder="1" applyAlignment="1">
      <alignment/>
    </xf>
    <xf numFmtId="0" fontId="9" fillId="0" borderId="13" xfId="0" applyFont="1" applyBorder="1" applyAlignment="1" applyProtection="1">
      <alignment/>
      <protection locked="0"/>
    </xf>
    <xf numFmtId="0" fontId="5" fillId="0" borderId="11" xfId="0" applyFont="1" applyBorder="1" applyAlignment="1">
      <alignment horizontal="center" vertical="center" wrapText="1"/>
    </xf>
    <xf numFmtId="0" fontId="5" fillId="0" borderId="21" xfId="0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0" xfId="0" applyFont="1" applyBorder="1" applyAlignment="1">
      <alignment/>
    </xf>
    <xf numFmtId="0" fontId="9" fillId="33" borderId="13" xfId="0" applyFont="1" applyFill="1" applyBorder="1" applyAlignment="1" applyProtection="1">
      <alignment horizontal="left"/>
      <protection locked="0"/>
    </xf>
    <xf numFmtId="0" fontId="9" fillId="33" borderId="13" xfId="0" applyFont="1" applyFill="1" applyBorder="1" applyAlignment="1" applyProtection="1">
      <alignment horizontal="center"/>
      <protection locked="0"/>
    </xf>
    <xf numFmtId="0" fontId="9" fillId="33" borderId="12" xfId="0" applyFont="1" applyFill="1" applyBorder="1" applyAlignment="1" applyProtection="1">
      <alignment horizontal="left"/>
      <protection locked="0"/>
    </xf>
    <xf numFmtId="0" fontId="14" fillId="33" borderId="21" xfId="0" applyFont="1" applyFill="1" applyBorder="1" applyAlignment="1">
      <alignment horizontal="left" vertical="center"/>
    </xf>
    <xf numFmtId="0" fontId="5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5" fillId="33" borderId="21" xfId="0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175" fontId="6" fillId="0" borderId="0" xfId="0" applyNumberFormat="1" applyFont="1" applyBorder="1" applyAlignment="1" applyProtection="1">
      <alignment/>
      <protection locked="0"/>
    </xf>
    <xf numFmtId="0" fontId="15" fillId="0" borderId="11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/>
      <protection locked="0"/>
    </xf>
    <xf numFmtId="0" fontId="6" fillId="0" borderId="14" xfId="0" applyFont="1" applyBorder="1" applyAlignment="1" applyProtection="1">
      <alignment horizontal="center"/>
      <protection locked="0"/>
    </xf>
    <xf numFmtId="0" fontId="15" fillId="0" borderId="15" xfId="0" applyFont="1" applyBorder="1" applyAlignment="1" applyProtection="1">
      <alignment horizontal="center"/>
      <protection locked="0"/>
    </xf>
    <xf numFmtId="0" fontId="15" fillId="0" borderId="15" xfId="0" applyFont="1" applyBorder="1" applyAlignment="1" applyProtection="1">
      <alignment/>
      <protection locked="0"/>
    </xf>
    <xf numFmtId="0" fontId="15" fillId="0" borderId="16" xfId="0" applyFont="1" applyBorder="1" applyAlignment="1" applyProtection="1">
      <alignment/>
      <protection locked="0"/>
    </xf>
    <xf numFmtId="0" fontId="15" fillId="0" borderId="16" xfId="0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center"/>
      <protection locked="0"/>
    </xf>
    <xf numFmtId="0" fontId="15" fillId="0" borderId="11" xfId="0" applyFont="1" applyBorder="1" applyAlignment="1" applyProtection="1">
      <alignment/>
      <protection locked="0"/>
    </xf>
    <xf numFmtId="0" fontId="15" fillId="0" borderId="20" xfId="0" applyFont="1" applyBorder="1" applyAlignment="1" applyProtection="1">
      <alignment horizontal="center"/>
      <protection locked="0"/>
    </xf>
    <xf numFmtId="0" fontId="15" fillId="0" borderId="20" xfId="0" applyFont="1" applyBorder="1" applyAlignment="1" applyProtection="1">
      <alignment/>
      <protection locked="0"/>
    </xf>
    <xf numFmtId="0" fontId="15" fillId="0" borderId="18" xfId="0" applyFont="1" applyBorder="1" applyAlignment="1" applyProtection="1">
      <alignment horizontal="center"/>
      <protection locked="0"/>
    </xf>
    <xf numFmtId="0" fontId="15" fillId="0" borderId="19" xfId="0" applyFont="1" applyBorder="1" applyAlignment="1" applyProtection="1">
      <alignment horizontal="center"/>
      <protection locked="0"/>
    </xf>
    <xf numFmtId="0" fontId="15" fillId="0" borderId="24" xfId="0" applyFont="1" applyBorder="1" applyAlignment="1" applyProtection="1">
      <alignment horizontal="center"/>
      <protection locked="0"/>
    </xf>
    <xf numFmtId="175" fontId="15" fillId="0" borderId="21" xfId="0" applyNumberFormat="1" applyFont="1" applyBorder="1" applyAlignment="1" applyProtection="1">
      <alignment horizontal="center"/>
      <protection locked="0"/>
    </xf>
    <xf numFmtId="175" fontId="15" fillId="0" borderId="24" xfId="0" applyNumberFormat="1" applyFont="1" applyBorder="1" applyAlignment="1" applyProtection="1">
      <alignment horizontal="center"/>
      <protection locked="0"/>
    </xf>
    <xf numFmtId="175" fontId="15" fillId="0" borderId="23" xfId="0" applyNumberFormat="1" applyFont="1" applyBorder="1" applyAlignment="1" applyProtection="1">
      <alignment horizontal="center"/>
      <protection locked="0"/>
    </xf>
    <xf numFmtId="0" fontId="16" fillId="0" borderId="24" xfId="0" applyFont="1" applyBorder="1" applyAlignment="1" applyProtection="1">
      <alignment/>
      <protection locked="0"/>
    </xf>
    <xf numFmtId="0" fontId="16" fillId="0" borderId="21" xfId="0" applyFont="1" applyBorder="1" applyAlignment="1" applyProtection="1">
      <alignment horizontal="center"/>
      <protection locked="0"/>
    </xf>
    <xf numFmtId="0" fontId="16" fillId="0" borderId="24" xfId="0" applyFont="1" applyBorder="1" applyAlignment="1" applyProtection="1">
      <alignment horizontal="center"/>
      <protection locked="0"/>
    </xf>
    <xf numFmtId="0" fontId="16" fillId="0" borderId="23" xfId="0" applyFont="1" applyBorder="1" applyAlignment="1" applyProtection="1">
      <alignment horizontal="center"/>
      <protection locked="0"/>
    </xf>
    <xf numFmtId="175" fontId="16" fillId="0" borderId="24" xfId="0" applyNumberFormat="1" applyFont="1" applyBorder="1" applyAlignment="1" applyProtection="1">
      <alignment horizontal="center"/>
      <protection locked="0"/>
    </xf>
    <xf numFmtId="175" fontId="13" fillId="0" borderId="0" xfId="0" applyNumberFormat="1" applyFont="1" applyBorder="1" applyAlignment="1" applyProtection="1">
      <alignment/>
      <protection locked="0"/>
    </xf>
    <xf numFmtId="0" fontId="15" fillId="0" borderId="24" xfId="0" applyFont="1" applyBorder="1" applyAlignment="1" applyProtection="1">
      <alignment/>
      <protection locked="0"/>
    </xf>
    <xf numFmtId="173" fontId="6" fillId="0" borderId="0" xfId="0" applyNumberFormat="1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center"/>
      <protection locked="0"/>
    </xf>
    <xf numFmtId="173" fontId="6" fillId="0" borderId="0" xfId="41" applyFont="1" applyBorder="1" applyAlignment="1" applyProtection="1">
      <alignment/>
      <protection locked="0"/>
    </xf>
    <xf numFmtId="0" fontId="6" fillId="0" borderId="0" xfId="0" applyFont="1" applyBorder="1" applyAlignment="1" applyProtection="1">
      <alignment horizontal="left"/>
      <protection locked="0"/>
    </xf>
    <xf numFmtId="0" fontId="10" fillId="0" borderId="0" xfId="52" applyFont="1" applyBorder="1" applyProtection="1">
      <alignment/>
      <protection locked="0"/>
    </xf>
    <xf numFmtId="0" fontId="10" fillId="0" borderId="16" xfId="52" applyFont="1" applyBorder="1" applyProtection="1">
      <alignment/>
      <protection locked="0"/>
    </xf>
    <xf numFmtId="0" fontId="10" fillId="0" borderId="0" xfId="52" applyFont="1" applyBorder="1">
      <alignment/>
      <protection/>
    </xf>
    <xf numFmtId="0" fontId="9" fillId="0" borderId="0" xfId="52" applyFont="1" applyBorder="1" applyProtection="1">
      <alignment/>
      <protection locked="0"/>
    </xf>
    <xf numFmtId="173" fontId="10" fillId="0" borderId="17" xfId="43" applyFont="1" applyFill="1" applyBorder="1" applyAlignment="1">
      <alignment/>
    </xf>
    <xf numFmtId="0" fontId="10" fillId="0" borderId="0" xfId="52" applyFont="1" applyBorder="1" applyAlignment="1" applyProtection="1">
      <alignment horizontal="center"/>
      <protection locked="0"/>
    </xf>
    <xf numFmtId="173" fontId="10" fillId="0" borderId="0" xfId="43" applyFont="1" applyBorder="1" applyAlignment="1">
      <alignment horizontal="right"/>
    </xf>
    <xf numFmtId="0" fontId="13" fillId="33" borderId="22" xfId="0" applyFont="1" applyFill="1" applyBorder="1" applyAlignment="1" applyProtection="1">
      <alignment/>
      <protection locked="0"/>
    </xf>
    <xf numFmtId="175" fontId="13" fillId="33" borderId="22" xfId="0" applyNumberFormat="1" applyFont="1" applyFill="1" applyBorder="1" applyAlignment="1">
      <alignment horizontal="right"/>
    </xf>
    <xf numFmtId="10" fontId="13" fillId="33" borderId="23" xfId="0" applyNumberFormat="1" applyFont="1" applyFill="1" applyBorder="1" applyAlignment="1">
      <alignment horizontal="center"/>
    </xf>
    <xf numFmtId="0" fontId="9" fillId="0" borderId="16" xfId="52" applyFont="1" applyBorder="1" applyProtection="1">
      <alignment/>
      <protection locked="0"/>
    </xf>
    <xf numFmtId="0" fontId="9" fillId="0" borderId="0" xfId="52" applyFont="1" applyBorder="1">
      <alignment/>
      <protection/>
    </xf>
    <xf numFmtId="0" fontId="10" fillId="0" borderId="13" xfId="52" applyFont="1" applyBorder="1">
      <alignment/>
      <protection/>
    </xf>
    <xf numFmtId="173" fontId="10" fillId="0" borderId="13" xfId="43" applyFont="1" applyBorder="1" applyAlignment="1">
      <alignment horizontal="right"/>
    </xf>
    <xf numFmtId="0" fontId="10" fillId="0" borderId="10" xfId="52" applyFont="1" applyBorder="1" applyProtection="1">
      <alignment/>
      <protection locked="0"/>
    </xf>
    <xf numFmtId="0" fontId="9" fillId="0" borderId="24" xfId="52" applyFont="1" applyBorder="1" applyAlignment="1">
      <alignment horizontal="center" vertical="center"/>
      <protection/>
    </xf>
    <xf numFmtId="173" fontId="9" fillId="0" borderId="23" xfId="43" applyFont="1" applyFill="1" applyBorder="1" applyAlignment="1">
      <alignment horizontal="center" vertical="center"/>
    </xf>
    <xf numFmtId="0" fontId="9" fillId="0" borderId="11" xfId="0" applyFont="1" applyFill="1" applyBorder="1" applyAlignment="1" applyProtection="1">
      <alignment horizontal="center" vertical="center" wrapText="1"/>
      <protection locked="0"/>
    </xf>
    <xf numFmtId="175" fontId="9" fillId="0" borderId="11" xfId="0" applyNumberFormat="1" applyFont="1" applyFill="1" applyBorder="1" applyAlignment="1">
      <alignment horizontal="center" vertical="center" wrapText="1"/>
    </xf>
    <xf numFmtId="10" fontId="9" fillId="0" borderId="11" xfId="0" applyNumberFormat="1" applyFont="1" applyFill="1" applyBorder="1" applyAlignment="1">
      <alignment horizontal="center" vertical="center" wrapText="1"/>
    </xf>
    <xf numFmtId="0" fontId="9" fillId="0" borderId="15" xfId="0" applyFont="1" applyFill="1" applyBorder="1" applyAlignment="1" applyProtection="1">
      <alignment horizontal="center" vertical="center" wrapText="1"/>
      <protection locked="0"/>
    </xf>
    <xf numFmtId="175" fontId="9" fillId="0" borderId="15" xfId="0" applyNumberFormat="1" applyFont="1" applyFill="1" applyBorder="1" applyAlignment="1">
      <alignment horizontal="center" vertical="center" wrapText="1"/>
    </xf>
    <xf numFmtId="10" fontId="9" fillId="0" borderId="15" xfId="0" applyNumberFormat="1" applyFont="1" applyFill="1" applyBorder="1" applyAlignment="1">
      <alignment horizontal="center" vertical="center" wrapText="1"/>
    </xf>
    <xf numFmtId="0" fontId="5" fillId="0" borderId="0" xfId="52" applyFont="1" applyBorder="1" applyProtection="1">
      <alignment/>
      <protection locked="0"/>
    </xf>
    <xf numFmtId="0" fontId="10" fillId="0" borderId="23" xfId="52" applyFont="1" applyBorder="1" applyProtection="1">
      <alignment/>
      <protection locked="0"/>
    </xf>
    <xf numFmtId="0" fontId="14" fillId="33" borderId="22" xfId="0" applyFont="1" applyFill="1" applyBorder="1" applyAlignment="1">
      <alignment horizontal="left" vertical="center"/>
    </xf>
    <xf numFmtId="0" fontId="5" fillId="0" borderId="16" xfId="0" applyFont="1" applyBorder="1" applyAlignment="1">
      <alignment/>
    </xf>
    <xf numFmtId="173" fontId="5" fillId="0" borderId="22" xfId="41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33" borderId="16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0" fontId="4" fillId="33" borderId="16" xfId="0" applyFont="1" applyFill="1" applyBorder="1" applyAlignment="1">
      <alignment/>
    </xf>
    <xf numFmtId="173" fontId="5" fillId="33" borderId="0" xfId="41" applyFont="1" applyFill="1" applyBorder="1" applyAlignment="1">
      <alignment/>
    </xf>
    <xf numFmtId="0" fontId="5" fillId="0" borderId="16" xfId="0" applyFont="1" applyBorder="1" applyAlignment="1">
      <alignment/>
    </xf>
    <xf numFmtId="173" fontId="5" fillId="0" borderId="13" xfId="41" applyFont="1" applyBorder="1" applyAlignment="1">
      <alignment/>
    </xf>
    <xf numFmtId="173" fontId="5" fillId="0" borderId="0" xfId="41" applyFont="1" applyBorder="1" applyAlignment="1">
      <alignment horizontal="right"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3" xfId="0" applyFont="1" applyBorder="1" applyAlignment="1">
      <alignment/>
    </xf>
    <xf numFmtId="173" fontId="5" fillId="0" borderId="13" xfId="41" applyFont="1" applyBorder="1" applyAlignment="1">
      <alignment horizontal="right"/>
    </xf>
    <xf numFmtId="0" fontId="5" fillId="33" borderId="16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16" xfId="0" applyFont="1" applyBorder="1" applyAlignment="1">
      <alignment/>
    </xf>
    <xf numFmtId="173" fontId="4" fillId="0" borderId="0" xfId="41" applyFont="1" applyBorder="1" applyAlignment="1">
      <alignment/>
    </xf>
    <xf numFmtId="10" fontId="4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6" xfId="0" applyNumberFormat="1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7" xfId="0" applyFont="1" applyBorder="1" applyAlignment="1">
      <alignment/>
    </xf>
    <xf numFmtId="175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179" fontId="8" fillId="0" borderId="0" xfId="41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33" borderId="16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173" fontId="4" fillId="33" borderId="0" xfId="41" applyFont="1" applyFill="1" applyBorder="1" applyAlignment="1">
      <alignment horizontal="center"/>
    </xf>
    <xf numFmtId="173" fontId="4" fillId="0" borderId="10" xfId="41" applyFont="1" applyBorder="1" applyAlignment="1">
      <alignment horizontal="center"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19" xfId="0" applyFont="1" applyBorder="1" applyAlignment="1">
      <alignment/>
    </xf>
    <xf numFmtId="0" fontId="4" fillId="33" borderId="17" xfId="0" applyFont="1" applyFill="1" applyBorder="1" applyAlignment="1">
      <alignment/>
    </xf>
    <xf numFmtId="173" fontId="11" fillId="0" borderId="0" xfId="41" applyFont="1" applyBorder="1" applyAlignment="1">
      <alignment/>
    </xf>
    <xf numFmtId="173" fontId="10" fillId="0" borderId="0" xfId="41" applyFont="1" applyBorder="1" applyAlignment="1">
      <alignment horizontal="right"/>
    </xf>
    <xf numFmtId="173" fontId="9" fillId="0" borderId="10" xfId="41" applyFont="1" applyBorder="1" applyAlignment="1">
      <alignment/>
    </xf>
    <xf numFmtId="178" fontId="5" fillId="0" borderId="0" xfId="41" applyNumberFormat="1" applyFont="1" applyBorder="1" applyAlignment="1">
      <alignment/>
    </xf>
    <xf numFmtId="173" fontId="8" fillId="33" borderId="0" xfId="41" applyFont="1" applyFill="1" applyBorder="1" applyAlignment="1">
      <alignment/>
    </xf>
    <xf numFmtId="0" fontId="5" fillId="0" borderId="10" xfId="0" applyFont="1" applyBorder="1" applyAlignment="1">
      <alignment/>
    </xf>
    <xf numFmtId="173" fontId="10" fillId="0" borderId="0" xfId="41" applyNumberFormat="1" applyFont="1" applyBorder="1" applyAlignment="1">
      <alignment/>
    </xf>
    <xf numFmtId="172" fontId="10" fillId="0" borderId="0" xfId="41" applyNumberFormat="1" applyFont="1" applyBorder="1" applyAlignment="1">
      <alignment horizontal="right"/>
    </xf>
    <xf numFmtId="172" fontId="11" fillId="0" borderId="0" xfId="41" applyNumberFormat="1" applyFont="1" applyBorder="1" applyAlignment="1">
      <alignment horizontal="right"/>
    </xf>
    <xf numFmtId="0" fontId="4" fillId="0" borderId="21" xfId="0" applyFont="1" applyBorder="1" applyAlignment="1">
      <alignment/>
    </xf>
    <xf numFmtId="49" fontId="4" fillId="0" borderId="16" xfId="0" applyNumberFormat="1" applyFont="1" applyBorder="1" applyAlignment="1">
      <alignment/>
    </xf>
    <xf numFmtId="0" fontId="17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15" fillId="0" borderId="13" xfId="0" applyFont="1" applyBorder="1" applyAlignment="1" applyProtection="1">
      <alignment/>
      <protection locked="0"/>
    </xf>
    <xf numFmtId="0" fontId="15" fillId="0" borderId="14" xfId="0" applyFont="1" applyBorder="1" applyAlignment="1" applyProtection="1">
      <alignment/>
      <protection locked="0"/>
    </xf>
    <xf numFmtId="4" fontId="15" fillId="0" borderId="21" xfId="41" applyNumberFormat="1" applyFont="1" applyBorder="1" applyAlignment="1" applyProtection="1">
      <alignment/>
      <protection locked="0"/>
    </xf>
    <xf numFmtId="0" fontId="15" fillId="0" borderId="24" xfId="0" applyFont="1" applyBorder="1" applyAlignment="1" applyProtection="1">
      <alignment horizontal="left"/>
      <protection locked="0"/>
    </xf>
    <xf numFmtId="0" fontId="16" fillId="0" borderId="0" xfId="0" applyFont="1" applyBorder="1" applyAlignment="1" applyProtection="1">
      <alignment/>
      <protection locked="0"/>
    </xf>
    <xf numFmtId="0" fontId="15" fillId="0" borderId="0" xfId="0" applyFont="1" applyBorder="1" applyAlignment="1" applyProtection="1">
      <alignment/>
      <protection locked="0"/>
    </xf>
    <xf numFmtId="175" fontId="15" fillId="0" borderId="0" xfId="0" applyNumberFormat="1" applyFont="1" applyBorder="1" applyAlignment="1" applyProtection="1">
      <alignment/>
      <protection locked="0"/>
    </xf>
    <xf numFmtId="0" fontId="18" fillId="0" borderId="0" xfId="0" applyFont="1" applyBorder="1" applyAlignment="1" applyProtection="1">
      <alignment/>
      <protection locked="0"/>
    </xf>
    <xf numFmtId="173" fontId="4" fillId="0" borderId="0" xfId="41" applyFont="1" applyBorder="1" applyAlignment="1">
      <alignment horizontal="center"/>
    </xf>
    <xf numFmtId="4" fontId="4" fillId="0" borderId="0" xfId="0" applyNumberFormat="1" applyFont="1" applyBorder="1" applyAlignment="1">
      <alignment/>
    </xf>
    <xf numFmtId="0" fontId="6" fillId="0" borderId="10" xfId="0" applyFont="1" applyBorder="1" applyAlignment="1">
      <alignment/>
    </xf>
    <xf numFmtId="173" fontId="4" fillId="0" borderId="0" xfId="41" applyFont="1" applyBorder="1" applyAlignment="1">
      <alignment horizontal="right"/>
    </xf>
    <xf numFmtId="173" fontId="4" fillId="33" borderId="0" xfId="41" applyFont="1" applyFill="1" applyBorder="1" applyAlignment="1">
      <alignment/>
    </xf>
    <xf numFmtId="10" fontId="4" fillId="0" borderId="0" xfId="0" applyNumberFormat="1" applyFont="1" applyBorder="1" applyAlignment="1">
      <alignment horizontal="right"/>
    </xf>
    <xf numFmtId="175" fontId="10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10" fontId="4" fillId="0" borderId="10" xfId="0" applyNumberFormat="1" applyFont="1" applyBorder="1" applyAlignment="1">
      <alignment horizontal="right"/>
    </xf>
    <xf numFmtId="10" fontId="4" fillId="0" borderId="10" xfId="0" applyNumberFormat="1" applyFont="1" applyBorder="1" applyAlignment="1">
      <alignment/>
    </xf>
    <xf numFmtId="3" fontId="10" fillId="0" borderId="0" xfId="0" applyNumberFormat="1" applyFont="1" applyBorder="1" applyAlignment="1">
      <alignment horizontal="right"/>
    </xf>
    <xf numFmtId="175" fontId="19" fillId="0" borderId="0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177" fontId="10" fillId="0" borderId="0" xfId="41" applyNumberFormat="1" applyFont="1" applyBorder="1" applyAlignment="1">
      <alignment horizontal="center"/>
    </xf>
    <xf numFmtId="173" fontId="4" fillId="0" borderId="22" xfId="41" applyFont="1" applyBorder="1" applyAlignment="1">
      <alignment horizontal="center"/>
    </xf>
    <xf numFmtId="0" fontId="6" fillId="0" borderId="22" xfId="0" applyFont="1" applyBorder="1" applyAlignment="1">
      <alignment/>
    </xf>
    <xf numFmtId="0" fontId="12" fillId="0" borderId="0" xfId="0" applyFont="1" applyBorder="1" applyAlignment="1" applyProtection="1">
      <alignment/>
      <protection locked="0"/>
    </xf>
    <xf numFmtId="0" fontId="8" fillId="0" borderId="0" xfId="0" applyFont="1" applyBorder="1" applyAlignment="1">
      <alignment/>
    </xf>
    <xf numFmtId="9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right"/>
    </xf>
    <xf numFmtId="0" fontId="21" fillId="0" borderId="0" xfId="0" applyFont="1" applyBorder="1" applyAlignment="1">
      <alignment/>
    </xf>
    <xf numFmtId="173" fontId="4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/>
    </xf>
    <xf numFmtId="9" fontId="10" fillId="0" borderId="15" xfId="0" applyNumberFormat="1" applyFont="1" applyBorder="1" applyAlignment="1" applyProtection="1">
      <alignment horizontal="center"/>
      <protection locked="0"/>
    </xf>
    <xf numFmtId="4" fontId="9" fillId="33" borderId="15" xfId="0" applyNumberFormat="1" applyFont="1" applyFill="1" applyBorder="1" applyAlignment="1" applyProtection="1">
      <alignment horizontal="center"/>
      <protection locked="0"/>
    </xf>
    <xf numFmtId="4" fontId="9" fillId="33" borderId="15" xfId="0" applyNumberFormat="1" applyFont="1" applyFill="1" applyBorder="1" applyAlignment="1">
      <alignment horizontal="center"/>
    </xf>
    <xf numFmtId="4" fontId="9" fillId="33" borderId="15" xfId="41" applyNumberFormat="1" applyFont="1" applyFill="1" applyBorder="1" applyAlignment="1">
      <alignment horizontal="center"/>
    </xf>
    <xf numFmtId="173" fontId="5" fillId="0" borderId="15" xfId="0" applyNumberFormat="1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wrapText="1"/>
    </xf>
    <xf numFmtId="0" fontId="5" fillId="0" borderId="11" xfId="0" applyFont="1" applyBorder="1" applyAlignment="1" applyProtection="1">
      <alignment horizontal="center" wrapText="1"/>
      <protection locked="0"/>
    </xf>
    <xf numFmtId="173" fontId="5" fillId="0" borderId="20" xfId="0" applyNumberFormat="1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wrapText="1"/>
    </xf>
    <xf numFmtId="0" fontId="5" fillId="0" borderId="20" xfId="0" applyFont="1" applyBorder="1" applyAlignment="1" applyProtection="1">
      <alignment horizontal="center" wrapText="1"/>
      <protection locked="0"/>
    </xf>
    <xf numFmtId="0" fontId="8" fillId="0" borderId="11" xfId="0" applyFont="1" applyBorder="1" applyAlignment="1">
      <alignment horizontal="center"/>
    </xf>
    <xf numFmtId="10" fontId="5" fillId="0" borderId="11" xfId="0" applyNumberFormat="1" applyFont="1" applyBorder="1" applyAlignment="1" applyProtection="1">
      <alignment horizontal="center" vertical="center" wrapText="1"/>
      <protection locked="0"/>
    </xf>
    <xf numFmtId="173" fontId="5" fillId="0" borderId="15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>
      <alignment horizontal="center" vertical="center"/>
    </xf>
    <xf numFmtId="3" fontId="4" fillId="0" borderId="15" xfId="0" applyNumberFormat="1" applyFont="1" applyBorder="1" applyAlignment="1" applyProtection="1">
      <alignment horizontal="center" vertical="center"/>
      <protection locked="0"/>
    </xf>
    <xf numFmtId="4" fontId="4" fillId="0" borderId="15" xfId="0" applyNumberFormat="1" applyFont="1" applyBorder="1" applyAlignment="1" applyProtection="1">
      <alignment horizontal="center" vertical="center"/>
      <protection locked="0"/>
    </xf>
    <xf numFmtId="173" fontId="5" fillId="0" borderId="20" xfId="0" applyNumberFormat="1" applyFont="1" applyBorder="1" applyAlignment="1">
      <alignment horizontal="center" vertical="center"/>
    </xf>
    <xf numFmtId="4" fontId="4" fillId="0" borderId="20" xfId="0" applyNumberFormat="1" applyFont="1" applyBorder="1" applyAlignment="1">
      <alignment horizontal="center" vertical="center"/>
    </xf>
    <xf numFmtId="4" fontId="4" fillId="0" borderId="20" xfId="0" applyNumberFormat="1" applyFont="1" applyBorder="1" applyAlignment="1" applyProtection="1">
      <alignment horizontal="center" vertical="center"/>
      <protection locked="0"/>
    </xf>
    <xf numFmtId="0" fontId="5" fillId="0" borderId="24" xfId="0" applyFont="1" applyBorder="1" applyAlignment="1">
      <alignment horizontal="center" vertical="center"/>
    </xf>
    <xf numFmtId="10" fontId="4" fillId="0" borderId="24" xfId="0" applyNumberFormat="1" applyFont="1" applyBorder="1" applyAlignment="1">
      <alignment horizontal="center" vertical="center"/>
    </xf>
    <xf numFmtId="16" fontId="4" fillId="0" borderId="16" xfId="0" applyNumberFormat="1" applyFont="1" applyBorder="1" applyAlignment="1">
      <alignment/>
    </xf>
    <xf numFmtId="0" fontId="23" fillId="0" borderId="0" xfId="0" applyFont="1" applyBorder="1" applyAlignment="1" applyProtection="1">
      <alignment/>
      <protection locked="0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9" xfId="0" applyFont="1" applyFill="1" applyBorder="1" applyAlignment="1">
      <alignment/>
    </xf>
    <xf numFmtId="10" fontId="4" fillId="0" borderId="22" xfId="0" applyNumberFormat="1" applyFont="1" applyBorder="1" applyAlignment="1">
      <alignment/>
    </xf>
    <xf numFmtId="0" fontId="4" fillId="33" borderId="22" xfId="0" applyFont="1" applyFill="1" applyBorder="1" applyAlignment="1">
      <alignment horizontal="center"/>
    </xf>
    <xf numFmtId="4" fontId="16" fillId="0" borderId="0" xfId="0" applyNumberFormat="1" applyFont="1" applyBorder="1" applyAlignment="1" applyProtection="1">
      <alignment/>
      <protection locked="0"/>
    </xf>
    <xf numFmtId="0" fontId="4" fillId="0" borderId="12" xfId="0" applyFont="1" applyBorder="1" applyAlignment="1">
      <alignment horizontal="center"/>
    </xf>
    <xf numFmtId="0" fontId="15" fillId="34" borderId="24" xfId="0" applyFont="1" applyFill="1" applyBorder="1" applyAlignment="1" applyProtection="1">
      <alignment horizontal="center"/>
      <protection locked="0"/>
    </xf>
    <xf numFmtId="0" fontId="10" fillId="0" borderId="0" xfId="0" applyFont="1" applyBorder="1" applyAlignment="1">
      <alignment vertical="top"/>
    </xf>
    <xf numFmtId="0" fontId="26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26" fillId="0" borderId="0" xfId="0" applyFont="1" applyBorder="1" applyAlignment="1" applyProtection="1">
      <alignment/>
      <protection locked="0"/>
    </xf>
    <xf numFmtId="175" fontId="26" fillId="0" borderId="0" xfId="0" applyNumberFormat="1" applyFont="1" applyBorder="1" applyAlignment="1">
      <alignment horizontal="right"/>
    </xf>
    <xf numFmtId="10" fontId="26" fillId="0" borderId="0" xfId="0" applyNumberFormat="1" applyFont="1" applyBorder="1" applyAlignment="1">
      <alignment horizontal="center"/>
    </xf>
    <xf numFmtId="173" fontId="26" fillId="0" borderId="0" xfId="41" applyFont="1" applyFill="1" applyBorder="1" applyAlignment="1">
      <alignment horizontal="right"/>
    </xf>
    <xf numFmtId="0" fontId="9" fillId="0" borderId="13" xfId="52" applyFont="1" applyBorder="1" applyAlignment="1">
      <alignment/>
      <protection/>
    </xf>
    <xf numFmtId="0" fontId="5" fillId="0" borderId="0" xfId="0" applyFont="1" applyBorder="1" applyAlignment="1">
      <alignment horizontal="left"/>
    </xf>
    <xf numFmtId="0" fontId="27" fillId="0" borderId="0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15" xfId="0" applyFont="1" applyBorder="1" applyAlignment="1">
      <alignment/>
    </xf>
    <xf numFmtId="0" fontId="9" fillId="0" borderId="24" xfId="0" applyFont="1" applyBorder="1" applyAlignment="1">
      <alignment horizontal="center"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10" fillId="33" borderId="24" xfId="0" applyFont="1" applyFill="1" applyBorder="1" applyAlignment="1">
      <alignment horizontal="center" vertical="top"/>
    </xf>
    <xf numFmtId="0" fontId="9" fillId="33" borderId="21" xfId="0" applyFont="1" applyFill="1" applyBorder="1" applyAlignment="1">
      <alignment horizontal="left" vertical="top"/>
    </xf>
    <xf numFmtId="0" fontId="9" fillId="33" borderId="22" xfId="0" applyFont="1" applyFill="1" applyBorder="1" applyAlignment="1">
      <alignment horizontal="left" vertical="top"/>
    </xf>
    <xf numFmtId="0" fontId="9" fillId="33" borderId="23" xfId="0" applyFont="1" applyFill="1" applyBorder="1" applyAlignment="1">
      <alignment horizontal="left" vertical="top"/>
    </xf>
    <xf numFmtId="0" fontId="9" fillId="33" borderId="24" xfId="0" applyFont="1" applyFill="1" applyBorder="1" applyAlignment="1">
      <alignment vertical="top"/>
    </xf>
    <xf numFmtId="173" fontId="9" fillId="33" borderId="24" xfId="41" applyFont="1" applyFill="1" applyBorder="1" applyAlignment="1">
      <alignment vertical="top"/>
    </xf>
    <xf numFmtId="0" fontId="9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173" fontId="9" fillId="0" borderId="15" xfId="0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wrapText="1"/>
    </xf>
    <xf numFmtId="0" fontId="9" fillId="0" borderId="11" xfId="0" applyFont="1" applyBorder="1" applyAlignment="1" applyProtection="1">
      <alignment horizontal="center" wrapText="1"/>
      <protection locked="0"/>
    </xf>
    <xf numFmtId="0" fontId="9" fillId="0" borderId="11" xfId="0" applyFont="1" applyBorder="1" applyAlignment="1" applyProtection="1">
      <alignment horizontal="right" wrapText="1"/>
      <protection locked="0"/>
    </xf>
    <xf numFmtId="0" fontId="9" fillId="0" borderId="11" xfId="0" applyFont="1" applyBorder="1" applyAlignment="1" applyProtection="1">
      <alignment horizontal="left" wrapText="1"/>
      <protection locked="0"/>
    </xf>
    <xf numFmtId="173" fontId="9" fillId="0" borderId="20" xfId="0" applyNumberFormat="1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10" fontId="9" fillId="0" borderId="20" xfId="0" applyNumberFormat="1" applyFont="1" applyBorder="1" applyAlignment="1" applyProtection="1">
      <alignment horizontal="center" vertical="center" wrapText="1"/>
      <protection locked="0"/>
    </xf>
    <xf numFmtId="0" fontId="9" fillId="33" borderId="11" xfId="0" applyFont="1" applyFill="1" applyBorder="1" applyAlignment="1">
      <alignment horizontal="center"/>
    </xf>
    <xf numFmtId="0" fontId="9" fillId="0" borderId="15" xfId="0" applyFont="1" applyBorder="1" applyAlignment="1">
      <alignment horizontal="center" vertical="center" wrapText="1"/>
    </xf>
    <xf numFmtId="10" fontId="9" fillId="0" borderId="15" xfId="0" applyNumberFormat="1" applyFont="1" applyBorder="1" applyAlignment="1" applyProtection="1">
      <alignment horizontal="center" vertical="center" wrapText="1"/>
      <protection locked="0"/>
    </xf>
    <xf numFmtId="10" fontId="9" fillId="0" borderId="11" xfId="0" applyNumberFormat="1" applyFont="1" applyBorder="1" applyAlignment="1" applyProtection="1">
      <alignment horizontal="center" vertical="center" wrapText="1"/>
      <protection locked="0"/>
    </xf>
    <xf numFmtId="173" fontId="9" fillId="0" borderId="20" xfId="0" applyNumberFormat="1" applyFont="1" applyBorder="1" applyAlignment="1">
      <alignment horizontal="center" vertical="center"/>
    </xf>
    <xf numFmtId="4" fontId="10" fillId="0" borderId="15" xfId="0" applyNumberFormat="1" applyFont="1" applyBorder="1" applyAlignment="1">
      <alignment horizontal="center" vertical="center"/>
    </xf>
    <xf numFmtId="4" fontId="10" fillId="0" borderId="15" xfId="0" applyNumberFormat="1" applyFont="1" applyBorder="1" applyAlignment="1" applyProtection="1">
      <alignment horizontal="center" vertical="center"/>
      <protection locked="0"/>
    </xf>
    <xf numFmtId="4" fontId="10" fillId="0" borderId="20" xfId="0" applyNumberFormat="1" applyFont="1" applyBorder="1" applyAlignment="1">
      <alignment horizontal="center" vertical="center"/>
    </xf>
    <xf numFmtId="4" fontId="9" fillId="33" borderId="20" xfId="0" applyNumberFormat="1" applyFont="1" applyFill="1" applyBorder="1" applyAlignment="1" applyProtection="1">
      <alignment horizontal="center" vertical="center"/>
      <protection locked="0"/>
    </xf>
    <xf numFmtId="4" fontId="10" fillId="0" borderId="11" xfId="0" applyNumberFormat="1" applyFont="1" applyBorder="1" applyAlignment="1">
      <alignment horizontal="center"/>
    </xf>
    <xf numFmtId="4" fontId="10" fillId="0" borderId="11" xfId="0" applyNumberFormat="1" applyFont="1" applyBorder="1" applyAlignment="1" applyProtection="1">
      <alignment horizontal="center"/>
      <protection locked="0"/>
    </xf>
    <xf numFmtId="4" fontId="10" fillId="0" borderId="11" xfId="0" applyNumberFormat="1" applyFont="1" applyBorder="1" applyAlignment="1">
      <alignment horizontal="center" vertical="center"/>
    </xf>
    <xf numFmtId="4" fontId="9" fillId="0" borderId="11" xfId="0" applyNumberFormat="1" applyFont="1" applyBorder="1" applyAlignment="1" applyProtection="1">
      <alignment horizontal="center" vertical="center"/>
      <protection locked="0"/>
    </xf>
    <xf numFmtId="0" fontId="9" fillId="0" borderId="16" xfId="0" applyFont="1" applyBorder="1" applyAlignment="1">
      <alignment/>
    </xf>
    <xf numFmtId="0" fontId="9" fillId="0" borderId="17" xfId="0" applyFont="1" applyBorder="1" applyAlignment="1" applyProtection="1">
      <alignment/>
      <protection locked="0"/>
    </xf>
    <xf numFmtId="10" fontId="9" fillId="0" borderId="20" xfId="0" applyNumberFormat="1" applyFont="1" applyBorder="1" applyAlignment="1">
      <alignment horizontal="center" vertical="center" wrapText="1"/>
    </xf>
    <xf numFmtId="10" fontId="9" fillId="0" borderId="20" xfId="41" applyNumberFormat="1" applyFont="1" applyFill="1" applyBorder="1" applyAlignment="1">
      <alignment horizontal="center" vertical="center" wrapText="1"/>
    </xf>
    <xf numFmtId="0" fontId="9" fillId="0" borderId="15" xfId="0" applyFont="1" applyBorder="1" applyAlignment="1">
      <alignment horizontal="center"/>
    </xf>
    <xf numFmtId="9" fontId="9" fillId="0" borderId="15" xfId="0" applyNumberFormat="1" applyFont="1" applyBorder="1" applyAlignment="1">
      <alignment/>
    </xf>
    <xf numFmtId="4" fontId="9" fillId="0" borderId="15" xfId="0" applyNumberFormat="1" applyFont="1" applyBorder="1" applyAlignment="1">
      <alignment horizontal="right"/>
    </xf>
    <xf numFmtId="0" fontId="10" fillId="0" borderId="21" xfId="52" applyFont="1" applyBorder="1" applyAlignment="1" applyProtection="1">
      <alignment horizontal="left" vertical="center"/>
      <protection locked="0"/>
    </xf>
    <xf numFmtId="0" fontId="9" fillId="33" borderId="16" xfId="52" applyFont="1" applyFill="1" applyBorder="1">
      <alignment/>
      <protection/>
    </xf>
    <xf numFmtId="0" fontId="9" fillId="33" borderId="0" xfId="52" applyFont="1" applyFill="1" applyBorder="1" applyProtection="1">
      <alignment/>
      <protection locked="0"/>
    </xf>
    <xf numFmtId="0" fontId="10" fillId="33" borderId="0" xfId="52" applyFont="1" applyFill="1" applyBorder="1" applyProtection="1">
      <alignment/>
      <protection locked="0"/>
    </xf>
    <xf numFmtId="173" fontId="10" fillId="33" borderId="17" xfId="43" applyFont="1" applyFill="1" applyBorder="1" applyAlignment="1" applyProtection="1">
      <alignment horizontal="left"/>
      <protection locked="0"/>
    </xf>
    <xf numFmtId="0" fontId="9" fillId="0" borderId="16" xfId="52" applyFont="1" applyBorder="1">
      <alignment/>
      <protection/>
    </xf>
    <xf numFmtId="175" fontId="10" fillId="0" borderId="15" xfId="52" applyNumberFormat="1" applyFont="1" applyFill="1" applyBorder="1">
      <alignment/>
      <protection/>
    </xf>
    <xf numFmtId="173" fontId="10" fillId="0" borderId="15" xfId="43" applyFont="1" applyFill="1" applyBorder="1" applyAlignment="1">
      <alignment/>
    </xf>
    <xf numFmtId="0" fontId="9" fillId="0" borderId="16" xfId="52" applyFont="1" applyFill="1" applyBorder="1">
      <alignment/>
      <protection/>
    </xf>
    <xf numFmtId="0" fontId="9" fillId="0" borderId="0" xfId="52" applyFont="1" applyFill="1" applyBorder="1" applyProtection="1">
      <alignment/>
      <protection locked="0"/>
    </xf>
    <xf numFmtId="0" fontId="10" fillId="0" borderId="18" xfId="52" applyFont="1" applyBorder="1" applyProtection="1">
      <alignment/>
      <protection locked="0"/>
    </xf>
    <xf numFmtId="0" fontId="10" fillId="0" borderId="10" xfId="52" applyFont="1" applyBorder="1">
      <alignment/>
      <protection/>
    </xf>
    <xf numFmtId="0" fontId="10" fillId="0" borderId="20" xfId="52" applyFont="1" applyBorder="1" applyAlignment="1" applyProtection="1">
      <alignment horizontal="center"/>
      <protection locked="0"/>
    </xf>
    <xf numFmtId="0" fontId="10" fillId="0" borderId="22" xfId="52" applyFont="1" applyBorder="1" applyProtection="1">
      <alignment/>
      <protection locked="0"/>
    </xf>
    <xf numFmtId="0" fontId="9" fillId="33" borderId="21" xfId="52" applyFont="1" applyFill="1" applyBorder="1" applyAlignment="1" applyProtection="1">
      <alignment vertical="center"/>
      <protection locked="0"/>
    </xf>
    <xf numFmtId="0" fontId="9" fillId="33" borderId="22" xfId="52" applyFont="1" applyFill="1" applyBorder="1" applyAlignment="1" applyProtection="1">
      <alignment vertical="center"/>
      <protection locked="0"/>
    </xf>
    <xf numFmtId="0" fontId="10" fillId="33" borderId="22" xfId="52" applyFont="1" applyFill="1" applyBorder="1" applyAlignment="1">
      <alignment vertical="center"/>
      <protection/>
    </xf>
    <xf numFmtId="173" fontId="9" fillId="33" borderId="20" xfId="43" applyFont="1" applyFill="1" applyBorder="1" applyAlignment="1">
      <alignment horizontal="right" vertical="center"/>
    </xf>
    <xf numFmtId="173" fontId="15" fillId="0" borderId="24" xfId="41" applyFont="1" applyBorder="1" applyAlignment="1" applyProtection="1">
      <alignment/>
      <protection locked="0"/>
    </xf>
    <xf numFmtId="0" fontId="22" fillId="33" borderId="0" xfId="52" applyFont="1" applyFill="1" applyBorder="1" applyProtection="1">
      <alignment/>
      <protection locked="0"/>
    </xf>
    <xf numFmtId="173" fontId="22" fillId="33" borderId="17" xfId="43" applyFont="1" applyFill="1" applyBorder="1" applyAlignment="1" applyProtection="1">
      <alignment horizontal="left"/>
      <protection locked="0"/>
    </xf>
    <xf numFmtId="0" fontId="5" fillId="0" borderId="11" xfId="0" applyNumberFormat="1" applyFont="1" applyBorder="1" applyAlignment="1" applyProtection="1">
      <alignment horizontal="center" wrapText="1"/>
      <protection locked="0"/>
    </xf>
    <xf numFmtId="0" fontId="10" fillId="0" borderId="17" xfId="0" applyFont="1" applyBorder="1" applyAlignment="1">
      <alignment horizontal="center" vertical="top"/>
    </xf>
    <xf numFmtId="173" fontId="28" fillId="0" borderId="0" xfId="41" applyFont="1" applyBorder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Border="1" applyAlignment="1">
      <alignment horizontal="center"/>
    </xf>
    <xf numFmtId="10" fontId="29" fillId="0" borderId="0" xfId="0" applyNumberFormat="1" applyFont="1" applyBorder="1" applyAlignment="1">
      <alignment/>
    </xf>
    <xf numFmtId="0" fontId="30" fillId="0" borderId="0" xfId="0" applyFont="1" applyBorder="1" applyAlignment="1">
      <alignment/>
    </xf>
    <xf numFmtId="173" fontId="29" fillId="0" borderId="0" xfId="41" applyFont="1" applyBorder="1" applyAlignment="1">
      <alignment horizontal="center"/>
    </xf>
    <xf numFmtId="3" fontId="28" fillId="0" borderId="0" xfId="0" applyNumberFormat="1" applyFont="1" applyBorder="1" applyAlignment="1">
      <alignment/>
    </xf>
    <xf numFmtId="10" fontId="5" fillId="33" borderId="20" xfId="0" applyNumberFormat="1" applyFont="1" applyFill="1" applyBorder="1" applyAlignment="1">
      <alignment horizontal="right"/>
    </xf>
    <xf numFmtId="173" fontId="20" fillId="0" borderId="0" xfId="41" applyFont="1" applyBorder="1" applyAlignment="1">
      <alignment/>
    </xf>
    <xf numFmtId="175" fontId="21" fillId="0" borderId="0" xfId="0" applyNumberFormat="1" applyFont="1" applyBorder="1" applyAlignment="1">
      <alignment/>
    </xf>
    <xf numFmtId="10" fontId="5" fillId="0" borderId="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24" fillId="0" borderId="0" xfId="0" applyFont="1" applyBorder="1" applyAlignment="1">
      <alignment horizontal="right"/>
    </xf>
    <xf numFmtId="0" fontId="4" fillId="0" borderId="1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4" fontId="15" fillId="0" borderId="21" xfId="0" applyNumberFormat="1" applyFont="1" applyBorder="1" applyAlignment="1" applyProtection="1">
      <alignment/>
      <protection locked="0"/>
    </xf>
    <xf numFmtId="0" fontId="15" fillId="0" borderId="24" xfId="0" applyFont="1" applyFill="1" applyBorder="1" applyAlignment="1" applyProtection="1">
      <alignment horizontal="center"/>
      <protection locked="0"/>
    </xf>
    <xf numFmtId="4" fontId="15" fillId="0" borderId="24" xfId="41" applyNumberFormat="1" applyFont="1" applyBorder="1" applyAlignment="1" applyProtection="1">
      <alignment/>
      <protection locked="0"/>
    </xf>
    <xf numFmtId="4" fontId="15" fillId="0" borderId="24" xfId="0" applyNumberFormat="1" applyFont="1" applyBorder="1" applyAlignment="1" applyProtection="1">
      <alignment horizontal="right"/>
      <protection locked="0"/>
    </xf>
    <xf numFmtId="173" fontId="5" fillId="0" borderId="0" xfId="41" applyFont="1" applyFill="1" applyBorder="1" applyAlignment="1">
      <alignment horizontal="right"/>
    </xf>
    <xf numFmtId="0" fontId="4" fillId="33" borderId="0" xfId="0" applyFont="1" applyFill="1" applyBorder="1" applyAlignment="1">
      <alignment horizontal="right"/>
    </xf>
    <xf numFmtId="173" fontId="5" fillId="0" borderId="0" xfId="41" applyFont="1" applyFill="1" applyBorder="1" applyAlignment="1">
      <alignment/>
    </xf>
    <xf numFmtId="173" fontId="6" fillId="0" borderId="0" xfId="41" applyFont="1" applyBorder="1" applyAlignment="1">
      <alignment/>
    </xf>
    <xf numFmtId="173" fontId="10" fillId="0" borderId="15" xfId="43" applyFont="1" applyBorder="1" applyAlignment="1">
      <alignment horizontal="right"/>
    </xf>
    <xf numFmtId="9" fontId="10" fillId="0" borderId="0" xfId="52" applyNumberFormat="1" applyFont="1" applyBorder="1" applyAlignment="1" applyProtection="1">
      <alignment horizontal="center"/>
      <protection locked="0"/>
    </xf>
    <xf numFmtId="9" fontId="10" fillId="0" borderId="0" xfId="52" applyNumberFormat="1" applyFont="1" applyBorder="1" applyAlignment="1">
      <alignment horizontal="center"/>
      <protection/>
    </xf>
    <xf numFmtId="173" fontId="10" fillId="0" borderId="17" xfId="43" applyFont="1" applyBorder="1" applyAlignment="1">
      <alignment horizontal="right"/>
    </xf>
    <xf numFmtId="0" fontId="10" fillId="0" borderId="17" xfId="52" applyFont="1" applyFill="1" applyBorder="1" applyProtection="1">
      <alignment/>
      <protection locked="0"/>
    </xf>
    <xf numFmtId="173" fontId="10" fillId="0" borderId="17" xfId="43" applyFont="1" applyFill="1" applyBorder="1" applyAlignment="1" applyProtection="1">
      <alignment horizontal="left"/>
      <protection locked="0"/>
    </xf>
    <xf numFmtId="3" fontId="5" fillId="0" borderId="15" xfId="0" applyNumberFormat="1" applyFont="1" applyBorder="1" applyAlignment="1" applyProtection="1">
      <alignment horizontal="center" vertical="center"/>
      <protection locked="0"/>
    </xf>
    <xf numFmtId="3" fontId="7" fillId="0" borderId="15" xfId="0" applyNumberFormat="1" applyFont="1" applyBorder="1" applyAlignment="1" applyProtection="1">
      <alignment horizontal="center" vertical="center"/>
      <protection locked="0"/>
    </xf>
    <xf numFmtId="4" fontId="5" fillId="0" borderId="20" xfId="0" applyNumberFormat="1" applyFont="1" applyBorder="1" applyAlignment="1" applyProtection="1">
      <alignment horizontal="center" vertical="center"/>
      <protection locked="0"/>
    </xf>
    <xf numFmtId="3" fontId="5" fillId="0" borderId="20" xfId="0" applyNumberFormat="1" applyFont="1" applyBorder="1" applyAlignment="1" applyProtection="1">
      <alignment horizontal="center" vertical="center"/>
      <protection locked="0"/>
    </xf>
    <xf numFmtId="10" fontId="5" fillId="33" borderId="24" xfId="0" applyNumberFormat="1" applyFont="1" applyFill="1" applyBorder="1" applyAlignment="1">
      <alignment horizontal="center" vertical="center"/>
    </xf>
    <xf numFmtId="4" fontId="4" fillId="0" borderId="11" xfId="0" applyNumberFormat="1" applyFont="1" applyBorder="1" applyAlignment="1">
      <alignment horizontal="right"/>
    </xf>
    <xf numFmtId="4" fontId="4" fillId="0" borderId="15" xfId="0" applyNumberFormat="1" applyFont="1" applyBorder="1" applyAlignment="1">
      <alignment horizontal="right"/>
    </xf>
    <xf numFmtId="4" fontId="5" fillId="0" borderId="24" xfId="0" applyNumberFormat="1" applyFont="1" applyBorder="1" applyAlignment="1">
      <alignment/>
    </xf>
    <xf numFmtId="10" fontId="5" fillId="0" borderId="24" xfId="0" applyNumberFormat="1" applyFont="1" applyBorder="1" applyAlignment="1">
      <alignment/>
    </xf>
    <xf numFmtId="0" fontId="4" fillId="0" borderId="24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4" fontId="4" fillId="0" borderId="20" xfId="0" applyNumberFormat="1" applyFont="1" applyBorder="1" applyAlignment="1">
      <alignment horizontal="right"/>
    </xf>
    <xf numFmtId="0" fontId="5" fillId="0" borderId="19" xfId="0" applyFont="1" applyBorder="1" applyAlignment="1">
      <alignment horizontal="center"/>
    </xf>
    <xf numFmtId="0" fontId="13" fillId="0" borderId="15" xfId="0" applyFont="1" applyFill="1" applyBorder="1" applyAlignment="1" applyProtection="1">
      <alignment/>
      <protection locked="0"/>
    </xf>
    <xf numFmtId="0" fontId="6" fillId="0" borderId="10" xfId="0" applyFont="1" applyBorder="1" applyAlignment="1" applyProtection="1">
      <alignment/>
      <protection locked="0"/>
    </xf>
    <xf numFmtId="0" fontId="13" fillId="0" borderId="20" xfId="0" applyFont="1" applyFill="1" applyBorder="1" applyAlignment="1">
      <alignment horizontal="center"/>
    </xf>
    <xf numFmtId="173" fontId="5" fillId="33" borderId="17" xfId="41" applyFont="1" applyFill="1" applyBorder="1" applyAlignment="1">
      <alignment/>
    </xf>
    <xf numFmtId="173" fontId="10" fillId="0" borderId="20" xfId="41" applyFont="1" applyFill="1" applyBorder="1" applyAlignment="1">
      <alignment/>
    </xf>
    <xf numFmtId="0" fontId="10" fillId="0" borderId="12" xfId="0" applyFont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10" fillId="33" borderId="0" xfId="0" applyFont="1" applyFill="1" applyBorder="1" applyAlignment="1" applyProtection="1">
      <alignment/>
      <protection locked="0"/>
    </xf>
    <xf numFmtId="173" fontId="9" fillId="33" borderId="0" xfId="41" applyFont="1" applyFill="1" applyBorder="1" applyAlignment="1">
      <alignment horizontal="right"/>
    </xf>
    <xf numFmtId="10" fontId="10" fillId="33" borderId="0" xfId="0" applyNumberFormat="1" applyFont="1" applyFill="1" applyBorder="1" applyAlignment="1">
      <alignment horizontal="center"/>
    </xf>
    <xf numFmtId="0" fontId="9" fillId="0" borderId="24" xfId="52" applyFont="1" applyBorder="1" applyAlignment="1" applyProtection="1">
      <alignment horizontal="left" vertical="center"/>
      <protection locked="0"/>
    </xf>
    <xf numFmtId="0" fontId="10" fillId="0" borderId="15" xfId="52" applyFont="1" applyBorder="1" applyProtection="1">
      <alignment/>
      <protection locked="0"/>
    </xf>
    <xf numFmtId="0" fontId="10" fillId="0" borderId="20" xfId="52" applyFont="1" applyBorder="1" applyProtection="1">
      <alignment/>
      <protection locked="0"/>
    </xf>
    <xf numFmtId="9" fontId="10" fillId="0" borderId="10" xfId="52" applyNumberFormat="1" applyFont="1" applyBorder="1" applyAlignment="1">
      <alignment horizontal="center"/>
      <protection/>
    </xf>
    <xf numFmtId="173" fontId="10" fillId="0" borderId="20" xfId="43" applyFont="1" applyBorder="1" applyAlignment="1">
      <alignment horizontal="right"/>
    </xf>
    <xf numFmtId="173" fontId="10" fillId="0" borderId="10" xfId="43" applyFont="1" applyBorder="1" applyAlignment="1">
      <alignment horizontal="right"/>
    </xf>
    <xf numFmtId="173" fontId="10" fillId="0" borderId="10" xfId="43" applyFont="1" applyFill="1" applyBorder="1" applyAlignment="1">
      <alignment/>
    </xf>
    <xf numFmtId="173" fontId="5" fillId="0" borderId="17" xfId="41" applyFont="1" applyBorder="1" applyAlignment="1">
      <alignment/>
    </xf>
    <xf numFmtId="173" fontId="8" fillId="0" borderId="17" xfId="41" applyFont="1" applyBorder="1" applyAlignment="1">
      <alignment/>
    </xf>
    <xf numFmtId="179" fontId="8" fillId="0" borderId="17" xfId="41" applyNumberFormat="1" applyFont="1" applyBorder="1" applyAlignment="1">
      <alignment/>
    </xf>
    <xf numFmtId="0" fontId="4" fillId="0" borderId="25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17" xfId="0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4" fontId="4" fillId="0" borderId="0" xfId="0" applyNumberFormat="1" applyFont="1" applyBorder="1" applyAlignment="1">
      <alignment/>
    </xf>
    <xf numFmtId="4" fontId="4" fillId="0" borderId="0" xfId="0" applyNumberFormat="1" applyFont="1" applyFill="1" applyBorder="1" applyAlignment="1">
      <alignment/>
    </xf>
    <xf numFmtId="0" fontId="4" fillId="35" borderId="0" xfId="0" applyFont="1" applyFill="1" applyBorder="1" applyAlignment="1">
      <alignment/>
    </xf>
    <xf numFmtId="4" fontId="4" fillId="35" borderId="0" xfId="0" applyNumberFormat="1" applyFont="1" applyFill="1" applyBorder="1" applyAlignment="1">
      <alignment/>
    </xf>
    <xf numFmtId="4" fontId="5" fillId="0" borderId="17" xfId="0" applyNumberFormat="1" applyFont="1" applyFill="1" applyBorder="1" applyAlignment="1">
      <alignment/>
    </xf>
    <xf numFmtId="173" fontId="5" fillId="33" borderId="23" xfId="41" applyFont="1" applyFill="1" applyBorder="1" applyAlignment="1">
      <alignment/>
    </xf>
    <xf numFmtId="4" fontId="5" fillId="33" borderId="15" xfId="0" applyNumberFormat="1" applyFont="1" applyFill="1" applyBorder="1" applyAlignment="1">
      <alignment/>
    </xf>
    <xf numFmtId="4" fontId="8" fillId="0" borderId="0" xfId="41" applyNumberFormat="1" applyFont="1" applyBorder="1" applyAlignment="1">
      <alignment horizontal="right" wrapText="1"/>
    </xf>
    <xf numFmtId="4" fontId="5" fillId="0" borderId="0" xfId="0" applyNumberFormat="1" applyFont="1" applyBorder="1" applyAlignment="1">
      <alignment/>
    </xf>
    <xf numFmtId="0" fontId="4" fillId="33" borderId="14" xfId="0" applyFont="1" applyFill="1" applyBorder="1" applyAlignment="1">
      <alignment/>
    </xf>
    <xf numFmtId="2" fontId="4" fillId="0" borderId="0" xfId="0" applyNumberFormat="1" applyFont="1" applyBorder="1" applyAlignment="1">
      <alignment/>
    </xf>
    <xf numFmtId="0" fontId="4" fillId="33" borderId="22" xfId="0" applyFont="1" applyFill="1" applyBorder="1" applyAlignment="1">
      <alignment/>
    </xf>
    <xf numFmtId="173" fontId="8" fillId="0" borderId="13" xfId="41" applyFont="1" applyBorder="1" applyAlignment="1">
      <alignment horizontal="right" wrapText="1"/>
    </xf>
    <xf numFmtId="0" fontId="4" fillId="33" borderId="18" xfId="0" applyFont="1" applyFill="1" applyBorder="1" applyAlignment="1">
      <alignment/>
    </xf>
    <xf numFmtId="173" fontId="5" fillId="33" borderId="10" xfId="41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173" fontId="5" fillId="0" borderId="22" xfId="41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21" fillId="0" borderId="10" xfId="0" applyFont="1" applyBorder="1" applyAlignment="1">
      <alignment/>
    </xf>
    <xf numFmtId="173" fontId="20" fillId="0" borderId="10" xfId="41" applyFont="1" applyBorder="1" applyAlignment="1">
      <alignment/>
    </xf>
    <xf numFmtId="4" fontId="5" fillId="33" borderId="14" xfId="0" applyNumberFormat="1" applyFont="1" applyFill="1" applyBorder="1" applyAlignment="1">
      <alignment/>
    </xf>
    <xf numFmtId="173" fontId="4" fillId="0" borderId="0" xfId="41" applyFont="1" applyFill="1" applyBorder="1" applyAlignment="1">
      <alignment horizontal="center"/>
    </xf>
    <xf numFmtId="4" fontId="10" fillId="0" borderId="0" xfId="52" applyNumberFormat="1" applyFont="1" applyBorder="1" applyProtection="1">
      <alignment/>
      <protection locked="0"/>
    </xf>
    <xf numFmtId="0" fontId="10" fillId="33" borderId="15" xfId="52" applyFont="1" applyFill="1" applyBorder="1" applyProtection="1">
      <alignment/>
      <protection locked="0"/>
    </xf>
    <xf numFmtId="4" fontId="10" fillId="33" borderId="15" xfId="52" applyNumberFormat="1" applyFont="1" applyFill="1" applyBorder="1" applyProtection="1">
      <alignment/>
      <protection locked="0"/>
    </xf>
    <xf numFmtId="4" fontId="10" fillId="0" borderId="20" xfId="52" applyNumberFormat="1" applyFont="1" applyBorder="1" applyProtection="1">
      <alignment/>
      <protection locked="0"/>
    </xf>
    <xf numFmtId="4" fontId="10" fillId="0" borderId="10" xfId="52" applyNumberFormat="1" applyFont="1" applyBorder="1" applyProtection="1">
      <alignment/>
      <protection locked="0"/>
    </xf>
    <xf numFmtId="4" fontId="10" fillId="33" borderId="14" xfId="52" applyNumberFormat="1" applyFont="1" applyFill="1" applyBorder="1" applyProtection="1">
      <alignment/>
      <protection locked="0"/>
    </xf>
    <xf numFmtId="4" fontId="10" fillId="0" borderId="17" xfId="52" applyNumberFormat="1" applyFont="1" applyBorder="1" applyProtection="1">
      <alignment/>
      <protection locked="0"/>
    </xf>
    <xf numFmtId="0" fontId="9" fillId="0" borderId="0" xfId="0" applyFont="1" applyBorder="1" applyAlignment="1">
      <alignment horizontal="center"/>
    </xf>
    <xf numFmtId="10" fontId="9" fillId="0" borderId="0" xfId="0" applyNumberFormat="1" applyFont="1" applyBorder="1" applyAlignment="1">
      <alignment horizontal="center"/>
    </xf>
    <xf numFmtId="173" fontId="9" fillId="0" borderId="0" xfId="41" applyFont="1" applyFill="1" applyBorder="1" applyAlignment="1">
      <alignment horizontal="right"/>
    </xf>
    <xf numFmtId="0" fontId="10" fillId="0" borderId="24" xfId="52" applyFont="1" applyBorder="1" applyProtection="1">
      <alignment/>
      <protection locked="0"/>
    </xf>
    <xf numFmtId="173" fontId="10" fillId="33" borderId="15" xfId="43" applyFont="1" applyFill="1" applyBorder="1" applyAlignment="1">
      <alignment/>
    </xf>
    <xf numFmtId="4" fontId="10" fillId="33" borderId="20" xfId="52" applyNumberFormat="1" applyFont="1" applyFill="1" applyBorder="1" applyProtection="1">
      <alignment/>
      <protection locked="0"/>
    </xf>
    <xf numFmtId="0" fontId="10" fillId="33" borderId="24" xfId="52" applyFont="1" applyFill="1" applyBorder="1" applyProtection="1">
      <alignment/>
      <protection locked="0"/>
    </xf>
    <xf numFmtId="4" fontId="10" fillId="0" borderId="15" xfId="52" applyNumberFormat="1" applyFont="1" applyFill="1" applyBorder="1" applyProtection="1">
      <alignment/>
      <protection locked="0"/>
    </xf>
    <xf numFmtId="0" fontId="9" fillId="33" borderId="11" xfId="0" applyFont="1" applyFill="1" applyBorder="1" applyAlignment="1" applyProtection="1">
      <alignment horizontal="center" vertical="center" wrapText="1"/>
      <protection locked="0"/>
    </xf>
    <xf numFmtId="175" fontId="9" fillId="33" borderId="11" xfId="0" applyNumberFormat="1" applyFont="1" applyFill="1" applyBorder="1" applyAlignment="1">
      <alignment horizontal="center" vertical="center" wrapText="1"/>
    </xf>
    <xf numFmtId="10" fontId="9" fillId="33" borderId="11" xfId="0" applyNumberFormat="1" applyFont="1" applyFill="1" applyBorder="1" applyAlignment="1">
      <alignment horizontal="center" vertical="center" wrapText="1"/>
    </xf>
    <xf numFmtId="0" fontId="9" fillId="33" borderId="15" xfId="0" applyFont="1" applyFill="1" applyBorder="1" applyAlignment="1" applyProtection="1">
      <alignment horizontal="center" vertical="center" wrapText="1"/>
      <protection locked="0"/>
    </xf>
    <xf numFmtId="175" fontId="9" fillId="33" borderId="15" xfId="0" applyNumberFormat="1" applyFont="1" applyFill="1" applyBorder="1" applyAlignment="1">
      <alignment horizontal="center" vertical="center" wrapText="1"/>
    </xf>
    <xf numFmtId="10" fontId="9" fillId="33" borderId="15" xfId="0" applyNumberFormat="1" applyFont="1" applyFill="1" applyBorder="1" applyAlignment="1">
      <alignment horizontal="center" vertical="center" wrapText="1"/>
    </xf>
    <xf numFmtId="10" fontId="9" fillId="33" borderId="20" xfId="0" applyNumberFormat="1" applyFont="1" applyFill="1" applyBorder="1" applyAlignment="1" applyProtection="1">
      <alignment horizontal="center" vertical="center" wrapText="1"/>
      <protection locked="0"/>
    </xf>
    <xf numFmtId="10" fontId="9" fillId="33" borderId="20" xfId="0" applyNumberFormat="1" applyFont="1" applyFill="1" applyBorder="1" applyAlignment="1">
      <alignment horizontal="center" vertical="center" wrapText="1"/>
    </xf>
    <xf numFmtId="10" fontId="9" fillId="33" borderId="20" xfId="41" applyNumberFormat="1" applyFont="1" applyFill="1" applyBorder="1" applyAlignment="1">
      <alignment horizontal="center" vertical="center" wrapText="1"/>
    </xf>
    <xf numFmtId="0" fontId="9" fillId="33" borderId="15" xfId="0" applyFont="1" applyFill="1" applyBorder="1" applyAlignment="1" applyProtection="1">
      <alignment/>
      <protection locked="0"/>
    </xf>
    <xf numFmtId="10" fontId="9" fillId="33" borderId="15" xfId="0" applyNumberFormat="1" applyFont="1" applyFill="1" applyBorder="1" applyAlignment="1">
      <alignment horizontal="center"/>
    </xf>
    <xf numFmtId="173" fontId="9" fillId="33" borderId="15" xfId="41" applyFont="1" applyFill="1" applyBorder="1" applyAlignment="1">
      <alignment horizontal="right"/>
    </xf>
    <xf numFmtId="0" fontId="9" fillId="33" borderId="20" xfId="0" applyFont="1" applyFill="1" applyBorder="1" applyAlignment="1" applyProtection="1">
      <alignment/>
      <protection locked="0"/>
    </xf>
    <xf numFmtId="10" fontId="9" fillId="33" borderId="20" xfId="0" applyNumberFormat="1" applyFont="1" applyFill="1" applyBorder="1" applyAlignment="1">
      <alignment horizontal="center"/>
    </xf>
    <xf numFmtId="173" fontId="9" fillId="33" borderId="20" xfId="41" applyFont="1" applyFill="1" applyBorder="1" applyAlignment="1">
      <alignment horizontal="right"/>
    </xf>
    <xf numFmtId="0" fontId="6" fillId="33" borderId="0" xfId="0" applyFont="1" applyFill="1" applyBorder="1" applyAlignment="1" applyProtection="1">
      <alignment/>
      <protection locked="0"/>
    </xf>
    <xf numFmtId="4" fontId="10" fillId="0" borderId="15" xfId="0" applyNumberFormat="1" applyFont="1" applyBorder="1" applyAlignment="1" applyProtection="1">
      <alignment/>
      <protection locked="0"/>
    </xf>
    <xf numFmtId="0" fontId="6" fillId="0" borderId="11" xfId="0" applyFont="1" applyBorder="1" applyAlignment="1" applyProtection="1">
      <alignment/>
      <protection locked="0"/>
    </xf>
    <xf numFmtId="0" fontId="10" fillId="0" borderId="15" xfId="0" applyFont="1" applyBorder="1" applyAlignment="1" applyProtection="1">
      <alignment/>
      <protection locked="0"/>
    </xf>
    <xf numFmtId="0" fontId="10" fillId="0" borderId="20" xfId="0" applyFont="1" applyBorder="1" applyAlignment="1" applyProtection="1">
      <alignment/>
      <protection locked="0"/>
    </xf>
    <xf numFmtId="0" fontId="10" fillId="33" borderId="20" xfId="52" applyFont="1" applyFill="1" applyBorder="1" applyProtection="1">
      <alignment/>
      <protection locked="0"/>
    </xf>
    <xf numFmtId="0" fontId="10" fillId="0" borderId="10" xfId="52" applyFont="1" applyBorder="1" applyAlignment="1" applyProtection="1">
      <alignment horizontal="center"/>
      <protection locked="0"/>
    </xf>
    <xf numFmtId="0" fontId="10" fillId="0" borderId="19" xfId="52" applyFont="1" applyBorder="1" applyProtection="1">
      <alignment/>
      <protection locked="0"/>
    </xf>
    <xf numFmtId="0" fontId="10" fillId="0" borderId="24" xfId="52" applyFont="1" applyBorder="1" applyAlignment="1" applyProtection="1">
      <alignment horizontal="center"/>
      <protection locked="0"/>
    </xf>
    <xf numFmtId="173" fontId="10" fillId="0" borderId="20" xfId="43" applyFont="1" applyFill="1" applyBorder="1" applyAlignment="1">
      <alignment/>
    </xf>
    <xf numFmtId="179" fontId="8" fillId="0" borderId="10" xfId="41" applyNumberFormat="1" applyFont="1" applyBorder="1" applyAlignment="1">
      <alignment/>
    </xf>
    <xf numFmtId="4" fontId="5" fillId="0" borderId="19" xfId="0" applyNumberFormat="1" applyFont="1" applyFill="1" applyBorder="1" applyAlignment="1">
      <alignment/>
    </xf>
    <xf numFmtId="4" fontId="5" fillId="0" borderId="23" xfId="0" applyNumberFormat="1" applyFont="1" applyFill="1" applyBorder="1" applyAlignment="1">
      <alignment/>
    </xf>
    <xf numFmtId="0" fontId="24" fillId="0" borderId="10" xfId="0" applyFont="1" applyBorder="1" applyAlignment="1">
      <alignment/>
    </xf>
    <xf numFmtId="173" fontId="25" fillId="0" borderId="10" xfId="41" applyFont="1" applyBorder="1" applyAlignment="1">
      <alignment/>
    </xf>
    <xf numFmtId="0" fontId="4" fillId="35" borderId="10" xfId="0" applyFont="1" applyFill="1" applyBorder="1" applyAlignment="1">
      <alignment/>
    </xf>
    <xf numFmtId="0" fontId="4" fillId="35" borderId="10" xfId="0" applyFont="1" applyFill="1" applyBorder="1" applyAlignment="1">
      <alignment horizontal="center"/>
    </xf>
    <xf numFmtId="173" fontId="4" fillId="35" borderId="10" xfId="41" applyFont="1" applyFill="1" applyBorder="1" applyAlignment="1">
      <alignment/>
    </xf>
    <xf numFmtId="173" fontId="5" fillId="35" borderId="10" xfId="41" applyFont="1" applyFill="1" applyBorder="1" applyAlignment="1">
      <alignment/>
    </xf>
    <xf numFmtId="0" fontId="7" fillId="0" borderId="13" xfId="0" applyFont="1" applyBorder="1" applyAlignment="1">
      <alignment/>
    </xf>
    <xf numFmtId="173" fontId="4" fillId="0" borderId="13" xfId="41" applyFont="1" applyBorder="1" applyAlignment="1">
      <alignment/>
    </xf>
    <xf numFmtId="0" fontId="4" fillId="0" borderId="26" xfId="0" applyFont="1" applyBorder="1" applyAlignment="1">
      <alignment/>
    </xf>
    <xf numFmtId="0" fontId="4" fillId="33" borderId="25" xfId="0" applyFont="1" applyFill="1" applyBorder="1" applyAlignment="1">
      <alignment/>
    </xf>
    <xf numFmtId="0" fontId="4" fillId="33" borderId="25" xfId="0" applyFont="1" applyFill="1" applyBorder="1" applyAlignment="1">
      <alignment horizontal="center"/>
    </xf>
    <xf numFmtId="173" fontId="4" fillId="33" borderId="25" xfId="41" applyFont="1" applyFill="1" applyBorder="1" applyAlignment="1">
      <alignment/>
    </xf>
    <xf numFmtId="0" fontId="4" fillId="33" borderId="25" xfId="0" applyFont="1" applyFill="1" applyBorder="1" applyAlignment="1">
      <alignment/>
    </xf>
    <xf numFmtId="173" fontId="5" fillId="33" borderId="25" xfId="41" applyFont="1" applyFill="1" applyBorder="1" applyAlignment="1">
      <alignment/>
    </xf>
    <xf numFmtId="173" fontId="5" fillId="33" borderId="27" xfId="41" applyFont="1" applyFill="1" applyBorder="1" applyAlignment="1">
      <alignment/>
    </xf>
    <xf numFmtId="173" fontId="4" fillId="33" borderId="25" xfId="41" applyFont="1" applyFill="1" applyBorder="1" applyAlignment="1">
      <alignment horizontal="center"/>
    </xf>
    <xf numFmtId="0" fontId="4" fillId="33" borderId="27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3" fontId="4" fillId="33" borderId="22" xfId="0" applyNumberFormat="1" applyFont="1" applyFill="1" applyBorder="1" applyAlignment="1">
      <alignment/>
    </xf>
    <xf numFmtId="173" fontId="8" fillId="33" borderId="22" xfId="41" applyFont="1" applyFill="1" applyBorder="1" applyAlignment="1">
      <alignment horizontal="right" wrapText="1"/>
    </xf>
    <xf numFmtId="0" fontId="4" fillId="0" borderId="26" xfId="0" applyFont="1" applyBorder="1" applyAlignment="1">
      <alignment/>
    </xf>
    <xf numFmtId="3" fontId="4" fillId="0" borderId="25" xfId="0" applyNumberFormat="1" applyFont="1" applyBorder="1" applyAlignment="1">
      <alignment/>
    </xf>
    <xf numFmtId="0" fontId="4" fillId="0" borderId="25" xfId="0" applyFont="1" applyBorder="1" applyAlignment="1">
      <alignment horizontal="center"/>
    </xf>
    <xf numFmtId="173" fontId="20" fillId="0" borderId="25" xfId="41" applyFont="1" applyBorder="1" applyAlignment="1">
      <alignment/>
    </xf>
    <xf numFmtId="0" fontId="4" fillId="0" borderId="27" xfId="0" applyFont="1" applyBorder="1" applyAlignment="1">
      <alignment/>
    </xf>
    <xf numFmtId="4" fontId="5" fillId="0" borderId="17" xfId="0" applyNumberFormat="1" applyFont="1" applyBorder="1" applyAlignment="1">
      <alignment/>
    </xf>
    <xf numFmtId="173" fontId="20" fillId="0" borderId="0" xfId="41" applyFont="1" applyFill="1" applyBorder="1" applyAlignment="1">
      <alignment/>
    </xf>
    <xf numFmtId="0" fontId="23" fillId="0" borderId="0" xfId="0" applyFont="1" applyBorder="1" applyAlignment="1">
      <alignment/>
    </xf>
    <xf numFmtId="173" fontId="15" fillId="0" borderId="23" xfId="41" applyNumberFormat="1" applyFont="1" applyBorder="1" applyAlignment="1" applyProtection="1">
      <alignment/>
      <protection locked="0"/>
    </xf>
    <xf numFmtId="173" fontId="15" fillId="0" borderId="24" xfId="41" applyNumberFormat="1" applyFont="1" applyBorder="1" applyAlignment="1" applyProtection="1">
      <alignment/>
      <protection locked="0"/>
    </xf>
    <xf numFmtId="4" fontId="4" fillId="0" borderId="17" xfId="0" applyNumberFormat="1" applyFont="1" applyBorder="1" applyAlignment="1">
      <alignment/>
    </xf>
    <xf numFmtId="0" fontId="4" fillId="0" borderId="17" xfId="0" applyFont="1" applyBorder="1" applyAlignment="1">
      <alignment/>
    </xf>
    <xf numFmtId="4" fontId="22" fillId="33" borderId="11" xfId="52" applyNumberFormat="1" applyFont="1" applyFill="1" applyBorder="1" applyProtection="1">
      <alignment/>
      <protection locked="0"/>
    </xf>
    <xf numFmtId="10" fontId="21" fillId="0" borderId="0" xfId="0" applyNumberFormat="1" applyFont="1" applyBorder="1" applyAlignment="1">
      <alignment/>
    </xf>
    <xf numFmtId="4" fontId="20" fillId="0" borderId="17" xfId="0" applyNumberFormat="1" applyFont="1" applyFill="1" applyBorder="1" applyAlignment="1">
      <alignment/>
    </xf>
    <xf numFmtId="173" fontId="23" fillId="0" borderId="0" xfId="41" applyFont="1" applyBorder="1" applyAlignment="1">
      <alignment/>
    </xf>
    <xf numFmtId="0" fontId="9" fillId="0" borderId="16" xfId="0" applyFont="1" applyFill="1" applyBorder="1" applyAlignment="1">
      <alignment/>
    </xf>
    <xf numFmtId="0" fontId="9" fillId="0" borderId="0" xfId="0" applyFont="1" applyFill="1" applyBorder="1" applyAlignment="1" applyProtection="1">
      <alignment/>
      <protection locked="0"/>
    </xf>
    <xf numFmtId="0" fontId="9" fillId="0" borderId="17" xfId="0" applyFont="1" applyFill="1" applyBorder="1" applyAlignment="1" applyProtection="1">
      <alignment/>
      <protection locked="0"/>
    </xf>
    <xf numFmtId="173" fontId="10" fillId="0" borderId="15" xfId="41" applyFont="1" applyFill="1" applyBorder="1" applyAlignment="1">
      <alignment horizontal="center"/>
    </xf>
    <xf numFmtId="9" fontId="10" fillId="0" borderId="15" xfId="0" applyNumberFormat="1" applyFont="1" applyFill="1" applyBorder="1" applyAlignment="1">
      <alignment horizontal="center"/>
    </xf>
    <xf numFmtId="0" fontId="6" fillId="0" borderId="15" xfId="0" applyFont="1" applyFill="1" applyBorder="1" applyAlignment="1" applyProtection="1">
      <alignment/>
      <protection locked="0"/>
    </xf>
    <xf numFmtId="0" fontId="10" fillId="0" borderId="16" xfId="0" applyFont="1" applyFill="1" applyBorder="1" applyAlignment="1">
      <alignment/>
    </xf>
    <xf numFmtId="49" fontId="10" fillId="0" borderId="15" xfId="0" applyNumberFormat="1" applyFont="1" applyFill="1" applyBorder="1" applyAlignment="1" applyProtection="1">
      <alignment horizontal="center"/>
      <protection locked="0"/>
    </xf>
    <xf numFmtId="0" fontId="10" fillId="0" borderId="16" xfId="0" applyFont="1" applyFill="1" applyBorder="1" applyAlignment="1" applyProtection="1">
      <alignment/>
      <protection locked="0"/>
    </xf>
    <xf numFmtId="0" fontId="10" fillId="0" borderId="0" xfId="0" applyFont="1" applyFill="1" applyBorder="1" applyAlignment="1" applyProtection="1">
      <alignment/>
      <protection locked="0"/>
    </xf>
    <xf numFmtId="0" fontId="10" fillId="0" borderId="17" xfId="0" applyFont="1" applyFill="1" applyBorder="1" applyAlignment="1" applyProtection="1">
      <alignment/>
      <protection locked="0"/>
    </xf>
    <xf numFmtId="4" fontId="10" fillId="0" borderId="15" xfId="0" applyNumberFormat="1" applyFont="1" applyFill="1" applyBorder="1" applyAlignment="1" applyProtection="1">
      <alignment/>
      <protection locked="0"/>
    </xf>
    <xf numFmtId="0" fontId="13" fillId="33" borderId="22" xfId="0" applyFont="1" applyFill="1" applyBorder="1" applyAlignment="1">
      <alignment/>
    </xf>
    <xf numFmtId="0" fontId="13" fillId="33" borderId="22" xfId="0" applyFont="1" applyFill="1" applyBorder="1" applyAlignment="1" applyProtection="1">
      <alignment/>
      <protection locked="0"/>
    </xf>
    <xf numFmtId="10" fontId="13" fillId="33" borderId="22" xfId="0" applyNumberFormat="1" applyFont="1" applyFill="1" applyBorder="1" applyAlignment="1">
      <alignment horizontal="center"/>
    </xf>
    <xf numFmtId="173" fontId="13" fillId="33" borderId="23" xfId="41" applyFont="1" applyFill="1" applyBorder="1" applyAlignment="1">
      <alignment horizontal="right"/>
    </xf>
    <xf numFmtId="4" fontId="9" fillId="0" borderId="15" xfId="0" applyNumberFormat="1" applyFont="1" applyBorder="1" applyAlignment="1">
      <alignment horizontal="center" wrapText="1"/>
    </xf>
    <xf numFmtId="4" fontId="9" fillId="0" borderId="20" xfId="0" applyNumberFormat="1" applyFont="1" applyBorder="1" applyAlignment="1">
      <alignment horizontal="center" vertical="center" wrapText="1"/>
    </xf>
    <xf numFmtId="4" fontId="10" fillId="0" borderId="15" xfId="0" applyNumberFormat="1" applyFont="1" applyFill="1" applyBorder="1" applyAlignment="1">
      <alignment horizontal="center"/>
    </xf>
    <xf numFmtId="0" fontId="9" fillId="0" borderId="20" xfId="0" applyFont="1" applyBorder="1" applyAlignment="1">
      <alignment horizontal="center"/>
    </xf>
    <xf numFmtId="10" fontId="9" fillId="0" borderId="20" xfId="0" applyNumberFormat="1" applyFont="1" applyBorder="1" applyAlignment="1">
      <alignment/>
    </xf>
    <xf numFmtId="4" fontId="9" fillId="0" borderId="20" xfId="0" applyNumberFormat="1" applyFont="1" applyBorder="1" applyAlignment="1">
      <alignment horizontal="right"/>
    </xf>
    <xf numFmtId="173" fontId="5" fillId="0" borderId="0" xfId="0" applyNumberFormat="1" applyFont="1" applyBorder="1" applyAlignment="1">
      <alignment/>
    </xf>
    <xf numFmtId="173" fontId="6" fillId="0" borderId="0" xfId="41" applyFont="1" applyFill="1" applyBorder="1" applyAlignment="1" applyProtection="1">
      <alignment/>
      <protection locked="0"/>
    </xf>
    <xf numFmtId="0" fontId="8" fillId="0" borderId="11" xfId="0" applyFont="1" applyBorder="1" applyAlignment="1">
      <alignment/>
    </xf>
    <xf numFmtId="173" fontId="5" fillId="0" borderId="10" xfId="41" applyFont="1" applyBorder="1" applyAlignment="1">
      <alignment horizontal="right"/>
    </xf>
    <xf numFmtId="0" fontId="5" fillId="0" borderId="20" xfId="0" applyFont="1" applyBorder="1" applyAlignment="1">
      <alignment/>
    </xf>
    <xf numFmtId="0" fontId="4" fillId="33" borderId="17" xfId="0" applyFont="1" applyFill="1" applyBorder="1" applyAlignment="1">
      <alignment/>
    </xf>
    <xf numFmtId="2" fontId="5" fillId="33" borderId="0" xfId="0" applyNumberFormat="1" applyFont="1" applyFill="1" applyBorder="1" applyAlignment="1">
      <alignment/>
    </xf>
    <xf numFmtId="4" fontId="5" fillId="33" borderId="17" xfId="0" applyNumberFormat="1" applyFont="1" applyFill="1" applyBorder="1" applyAlignment="1">
      <alignment/>
    </xf>
    <xf numFmtId="173" fontId="5" fillId="33" borderId="0" xfId="41" applyFont="1" applyFill="1" applyBorder="1" applyAlignment="1">
      <alignment horizontal="right"/>
    </xf>
    <xf numFmtId="2" fontId="4" fillId="33" borderId="0" xfId="0" applyNumberFormat="1" applyFont="1" applyFill="1" applyBorder="1" applyAlignment="1">
      <alignment/>
    </xf>
    <xf numFmtId="4" fontId="4" fillId="33" borderId="17" xfId="0" applyNumberFormat="1" applyFont="1" applyFill="1" applyBorder="1" applyAlignment="1">
      <alignment/>
    </xf>
    <xf numFmtId="1" fontId="4" fillId="33" borderId="0" xfId="0" applyNumberFormat="1" applyFont="1" applyFill="1" applyBorder="1" applyAlignment="1">
      <alignment/>
    </xf>
    <xf numFmtId="4" fontId="4" fillId="0" borderId="17" xfId="0" applyNumberFormat="1" applyFont="1" applyFill="1" applyBorder="1" applyAlignment="1">
      <alignment/>
    </xf>
    <xf numFmtId="173" fontId="4" fillId="33" borderId="0" xfId="41" applyFont="1" applyFill="1" applyBorder="1" applyAlignment="1">
      <alignment horizontal="right"/>
    </xf>
    <xf numFmtId="0" fontId="4" fillId="0" borderId="17" xfId="0" applyFont="1" applyFill="1" applyBorder="1" applyAlignment="1">
      <alignment/>
    </xf>
    <xf numFmtId="173" fontId="4" fillId="0" borderId="0" xfId="0" applyNumberFormat="1" applyFont="1" applyBorder="1" applyAlignment="1">
      <alignment/>
    </xf>
    <xf numFmtId="0" fontId="4" fillId="0" borderId="19" xfId="0" applyFont="1" applyBorder="1" applyAlignment="1">
      <alignment/>
    </xf>
    <xf numFmtId="4" fontId="5" fillId="33" borderId="0" xfId="0" applyNumberFormat="1" applyFont="1" applyFill="1" applyBorder="1" applyAlignment="1">
      <alignment/>
    </xf>
    <xf numFmtId="4" fontId="5" fillId="0" borderId="0" xfId="41" applyNumberFormat="1" applyFont="1" applyFill="1" applyBorder="1" applyAlignment="1">
      <alignment/>
    </xf>
    <xf numFmtId="4" fontId="5" fillId="0" borderId="0" xfId="41" applyNumberFormat="1" applyFont="1" applyBorder="1" applyAlignment="1">
      <alignment/>
    </xf>
    <xf numFmtId="1" fontId="4" fillId="0" borderId="0" xfId="0" applyNumberFormat="1" applyFont="1" applyBorder="1" applyAlignment="1">
      <alignment/>
    </xf>
    <xf numFmtId="4" fontId="4" fillId="33" borderId="0" xfId="0" applyNumberFormat="1" applyFont="1" applyFill="1" applyBorder="1" applyAlignment="1">
      <alignment/>
    </xf>
    <xf numFmtId="0" fontId="4" fillId="33" borderId="21" xfId="0" applyFont="1" applyFill="1" applyBorder="1" applyAlignment="1">
      <alignment/>
    </xf>
    <xf numFmtId="173" fontId="4" fillId="33" borderId="22" xfId="41" applyFont="1" applyFill="1" applyBorder="1" applyAlignment="1">
      <alignment/>
    </xf>
    <xf numFmtId="3" fontId="10" fillId="0" borderId="0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right"/>
    </xf>
    <xf numFmtId="3" fontId="4" fillId="33" borderId="0" xfId="0" applyNumberFormat="1" applyFont="1" applyFill="1" applyBorder="1" applyAlignment="1">
      <alignment horizontal="center"/>
    </xf>
    <xf numFmtId="3" fontId="5" fillId="0" borderId="10" xfId="0" applyNumberFormat="1" applyFont="1" applyBorder="1" applyAlignment="1">
      <alignment horizontal="right"/>
    </xf>
    <xf numFmtId="3" fontId="5" fillId="0" borderId="13" xfId="0" applyNumberFormat="1" applyFont="1" applyBorder="1" applyAlignment="1">
      <alignment/>
    </xf>
    <xf numFmtId="4" fontId="8" fillId="0" borderId="0" xfId="0" applyNumberFormat="1" applyFont="1" applyBorder="1" applyAlignment="1">
      <alignment/>
    </xf>
    <xf numFmtId="0" fontId="4" fillId="0" borderId="14" xfId="0" applyFont="1" applyBorder="1" applyAlignment="1">
      <alignment/>
    </xf>
    <xf numFmtId="2" fontId="5" fillId="0" borderId="0" xfId="0" applyNumberFormat="1" applyFont="1" applyBorder="1" applyAlignment="1">
      <alignment/>
    </xf>
    <xf numFmtId="173" fontId="7" fillId="0" borderId="0" xfId="41" applyFont="1" applyBorder="1" applyAlignment="1">
      <alignment horizontal="center"/>
    </xf>
    <xf numFmtId="0" fontId="4" fillId="0" borderId="21" xfId="0" applyFont="1" applyBorder="1" applyAlignment="1">
      <alignment/>
    </xf>
    <xf numFmtId="49" fontId="4" fillId="0" borderId="12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/>
    </xf>
    <xf numFmtId="3" fontId="4" fillId="33" borderId="25" xfId="0" applyNumberFormat="1" applyFont="1" applyFill="1" applyBorder="1" applyAlignment="1">
      <alignment horizontal="center"/>
    </xf>
    <xf numFmtId="4" fontId="4" fillId="0" borderId="10" xfId="0" applyNumberFormat="1" applyFont="1" applyBorder="1" applyAlignment="1">
      <alignment/>
    </xf>
    <xf numFmtId="4" fontId="4" fillId="0" borderId="19" xfId="0" applyNumberFormat="1" applyFont="1" applyBorder="1" applyAlignment="1">
      <alignment/>
    </xf>
    <xf numFmtId="0" fontId="6" fillId="0" borderId="20" xfId="0" applyFont="1" applyBorder="1" applyAlignment="1" applyProtection="1">
      <alignment/>
      <protection locked="0"/>
    </xf>
    <xf numFmtId="0" fontId="6" fillId="0" borderId="15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10" fillId="33" borderId="14" xfId="0" applyFont="1" applyFill="1" applyBorder="1" applyAlignment="1" applyProtection="1">
      <alignment horizontal="center"/>
      <protection locked="0"/>
    </xf>
    <xf numFmtId="0" fontId="9" fillId="33" borderId="15" xfId="0" applyFont="1" applyFill="1" applyBorder="1" applyAlignment="1" applyProtection="1">
      <alignment horizontal="center"/>
      <protection locked="0"/>
    </xf>
    <xf numFmtId="0" fontId="10" fillId="33" borderId="20" xfId="0" applyFont="1" applyFill="1" applyBorder="1" applyAlignment="1" applyProtection="1">
      <alignment/>
      <protection locked="0"/>
    </xf>
    <xf numFmtId="173" fontId="6" fillId="0" borderId="15" xfId="41" applyFont="1" applyFill="1" applyBorder="1" applyAlignment="1">
      <alignment/>
    </xf>
    <xf numFmtId="0" fontId="6" fillId="0" borderId="15" xfId="0" applyFont="1" applyBorder="1" applyAlignment="1" applyProtection="1">
      <alignment/>
      <protection locked="0"/>
    </xf>
    <xf numFmtId="10" fontId="10" fillId="0" borderId="15" xfId="0" applyNumberFormat="1" applyFont="1" applyBorder="1" applyAlignment="1">
      <alignment horizontal="center"/>
    </xf>
    <xf numFmtId="0" fontId="6" fillId="0" borderId="20" xfId="0" applyFont="1" applyFill="1" applyBorder="1" applyAlignment="1" applyProtection="1">
      <alignment/>
      <protection locked="0"/>
    </xf>
    <xf numFmtId="0" fontId="9" fillId="0" borderId="12" xfId="0" applyFont="1" applyFill="1" applyBorder="1" applyAlignment="1" applyProtection="1">
      <alignment horizontal="left"/>
      <protection locked="0"/>
    </xf>
    <xf numFmtId="0" fontId="9" fillId="0" borderId="13" xfId="0" applyFont="1" applyFill="1" applyBorder="1" applyAlignment="1" applyProtection="1">
      <alignment horizontal="left"/>
      <protection locked="0"/>
    </xf>
    <xf numFmtId="0" fontId="9" fillId="0" borderId="13" xfId="0" applyFont="1" applyFill="1" applyBorder="1" applyAlignment="1" applyProtection="1">
      <alignment horizontal="center"/>
      <protection locked="0"/>
    </xf>
    <xf numFmtId="0" fontId="10" fillId="0" borderId="14" xfId="0" applyFont="1" applyFill="1" applyBorder="1" applyAlignment="1" applyProtection="1">
      <alignment horizontal="center"/>
      <protection locked="0"/>
    </xf>
    <xf numFmtId="173" fontId="10" fillId="0" borderId="10" xfId="41" applyFont="1" applyFill="1" applyBorder="1" applyAlignment="1">
      <alignment horizontal="center"/>
    </xf>
    <xf numFmtId="9" fontId="10" fillId="0" borderId="19" xfId="0" applyNumberFormat="1" applyFont="1" applyFill="1" applyBorder="1" applyAlignment="1">
      <alignment horizontal="center"/>
    </xf>
    <xf numFmtId="0" fontId="10" fillId="33" borderId="21" xfId="0" applyFont="1" applyFill="1" applyBorder="1" applyAlignment="1">
      <alignment horizontal="center"/>
    </xf>
    <xf numFmtId="0" fontId="9" fillId="33" borderId="22" xfId="0" applyFont="1" applyFill="1" applyBorder="1" applyAlignment="1">
      <alignment/>
    </xf>
    <xf numFmtId="0" fontId="10" fillId="33" borderId="22" xfId="0" applyFont="1" applyFill="1" applyBorder="1" applyAlignment="1" applyProtection="1">
      <alignment/>
      <protection locked="0"/>
    </xf>
    <xf numFmtId="173" fontId="9" fillId="33" borderId="24" xfId="41" applyFont="1" applyFill="1" applyBorder="1" applyAlignment="1">
      <alignment horizontal="right"/>
    </xf>
    <xf numFmtId="173" fontId="9" fillId="33" borderId="23" xfId="41" applyFont="1" applyFill="1" applyBorder="1" applyAlignment="1">
      <alignment horizontal="right"/>
    </xf>
    <xf numFmtId="10" fontId="10" fillId="33" borderId="23" xfId="0" applyNumberFormat="1" applyFont="1" applyFill="1" applyBorder="1" applyAlignment="1">
      <alignment horizontal="center"/>
    </xf>
    <xf numFmtId="10" fontId="9" fillId="0" borderId="11" xfId="0" applyNumberFormat="1" applyFont="1" applyBorder="1" applyAlignment="1">
      <alignment horizontal="center" wrapText="1"/>
    </xf>
    <xf numFmtId="173" fontId="9" fillId="0" borderId="11" xfId="41" applyFont="1" applyFill="1" applyBorder="1" applyAlignment="1">
      <alignment horizontal="center" wrapText="1"/>
    </xf>
    <xf numFmtId="0" fontId="10" fillId="0" borderId="16" xfId="0" applyFont="1" applyBorder="1" applyAlignment="1">
      <alignment horizontal="center" vertical="top"/>
    </xf>
    <xf numFmtId="173" fontId="10" fillId="0" borderId="15" xfId="41" applyFont="1" applyBorder="1" applyAlignment="1">
      <alignment vertical="top"/>
    </xf>
    <xf numFmtId="0" fontId="10" fillId="0" borderId="15" xfId="0" applyFont="1" applyBorder="1" applyAlignment="1">
      <alignment horizontal="center" vertical="top"/>
    </xf>
    <xf numFmtId="0" fontId="9" fillId="0" borderId="12" xfId="52" applyFont="1" applyBorder="1" applyProtection="1">
      <alignment/>
      <protection locked="0"/>
    </xf>
    <xf numFmtId="173" fontId="10" fillId="0" borderId="11" xfId="43" applyFont="1" applyFill="1" applyBorder="1" applyAlignment="1">
      <alignment/>
    </xf>
    <xf numFmtId="3" fontId="10" fillId="0" borderId="0" xfId="52" applyNumberFormat="1" applyFont="1" applyBorder="1" applyAlignment="1" applyProtection="1">
      <alignment horizontal="center"/>
      <protection locked="0"/>
    </xf>
    <xf numFmtId="177" fontId="10" fillId="0" borderId="0" xfId="52" applyNumberFormat="1" applyFont="1" applyBorder="1" applyAlignment="1" applyProtection="1">
      <alignment horizontal="center"/>
      <protection locked="0"/>
    </xf>
    <xf numFmtId="0" fontId="10" fillId="0" borderId="16" xfId="52" applyFont="1" applyBorder="1">
      <alignment/>
      <protection/>
    </xf>
    <xf numFmtId="180" fontId="10" fillId="0" borderId="0" xfId="52" applyNumberFormat="1" applyFont="1" applyBorder="1" applyAlignment="1" applyProtection="1">
      <alignment horizontal="center"/>
      <protection locked="0"/>
    </xf>
    <xf numFmtId="173" fontId="15" fillId="0" borderId="23" xfId="41" applyFont="1" applyBorder="1" applyAlignment="1" applyProtection="1">
      <alignment/>
      <protection locked="0"/>
    </xf>
    <xf numFmtId="173" fontId="15" fillId="0" borderId="21" xfId="41" applyFont="1" applyBorder="1" applyAlignment="1" applyProtection="1">
      <alignment/>
      <protection locked="0"/>
    </xf>
    <xf numFmtId="173" fontId="15" fillId="0" borderId="22" xfId="41" applyFont="1" applyBorder="1" applyAlignment="1" applyProtection="1">
      <alignment/>
      <protection locked="0"/>
    </xf>
    <xf numFmtId="4" fontId="15" fillId="0" borderId="23" xfId="41" applyNumberFormat="1" applyFont="1" applyBorder="1" applyAlignment="1" applyProtection="1">
      <alignment/>
      <protection locked="0"/>
    </xf>
    <xf numFmtId="4" fontId="15" fillId="0" borderId="24" xfId="0" applyNumberFormat="1" applyFont="1" applyBorder="1" applyAlignment="1" applyProtection="1">
      <alignment/>
      <protection locked="0"/>
    </xf>
    <xf numFmtId="4" fontId="15" fillId="0" borderId="23" xfId="0" applyNumberFormat="1" applyFont="1" applyBorder="1" applyAlignment="1" applyProtection="1">
      <alignment horizontal="right"/>
      <protection locked="0"/>
    </xf>
    <xf numFmtId="0" fontId="15" fillId="0" borderId="24" xfId="0" applyFont="1" applyFill="1" applyBorder="1" applyAlignment="1" applyProtection="1">
      <alignment/>
      <protection locked="0"/>
    </xf>
    <xf numFmtId="0" fontId="4" fillId="0" borderId="16" xfId="0" applyFont="1" applyBorder="1" applyAlignment="1">
      <alignment wrapText="1"/>
    </xf>
    <xf numFmtId="0" fontId="10" fillId="36" borderId="0" xfId="0" applyFont="1" applyFill="1" applyBorder="1" applyAlignment="1">
      <alignment/>
    </xf>
    <xf numFmtId="0" fontId="4" fillId="36" borderId="0" xfId="0" applyFont="1" applyFill="1" applyBorder="1" applyAlignment="1">
      <alignment/>
    </xf>
    <xf numFmtId="173" fontId="5" fillId="36" borderId="0" xfId="41" applyFont="1" applyFill="1" applyBorder="1" applyAlignment="1">
      <alignment/>
    </xf>
    <xf numFmtId="0" fontId="4" fillId="36" borderId="17" xfId="0" applyFont="1" applyFill="1" applyBorder="1" applyAlignment="1">
      <alignment/>
    </xf>
    <xf numFmtId="181" fontId="4" fillId="36" borderId="0" xfId="0" applyNumberFormat="1" applyFont="1" applyFill="1" applyBorder="1" applyAlignment="1">
      <alignment/>
    </xf>
    <xf numFmtId="181" fontId="4" fillId="36" borderId="17" xfId="0" applyNumberFormat="1" applyFont="1" applyFill="1" applyBorder="1" applyAlignment="1">
      <alignment/>
    </xf>
    <xf numFmtId="0" fontId="13" fillId="37" borderId="0" xfId="0" applyFont="1" applyFill="1" applyBorder="1" applyAlignment="1" applyProtection="1">
      <alignment/>
      <protection locked="0"/>
    </xf>
    <xf numFmtId="173" fontId="13" fillId="37" borderId="0" xfId="41" applyFont="1" applyFill="1" applyBorder="1" applyAlignment="1" applyProtection="1">
      <alignment/>
      <protection locked="0"/>
    </xf>
    <xf numFmtId="173" fontId="6" fillId="37" borderId="0" xfId="41" applyFont="1" applyFill="1" applyBorder="1" applyAlignment="1" applyProtection="1">
      <alignment/>
      <protection locked="0"/>
    </xf>
    <xf numFmtId="14" fontId="4" fillId="0" borderId="0" xfId="0" applyNumberFormat="1" applyFont="1" applyBorder="1" applyAlignment="1">
      <alignment/>
    </xf>
    <xf numFmtId="0" fontId="15" fillId="0" borderId="10" xfId="0" applyFont="1" applyBorder="1" applyAlignment="1" applyProtection="1">
      <alignment horizontal="center"/>
      <protection locked="0"/>
    </xf>
    <xf numFmtId="0" fontId="15" fillId="0" borderId="19" xfId="0" applyFont="1" applyBorder="1" applyAlignment="1" applyProtection="1">
      <alignment horizontal="center"/>
      <protection locked="0"/>
    </xf>
    <xf numFmtId="0" fontId="15" fillId="0" borderId="12" xfId="0" applyFont="1" applyBorder="1" applyAlignment="1" applyProtection="1">
      <alignment horizontal="center"/>
      <protection locked="0"/>
    </xf>
    <xf numFmtId="0" fontId="15" fillId="0" borderId="13" xfId="0" applyFont="1" applyBorder="1" applyAlignment="1" applyProtection="1">
      <alignment horizontal="center"/>
      <protection locked="0"/>
    </xf>
    <xf numFmtId="0" fontId="15" fillId="0" borderId="14" xfId="0" applyFont="1" applyBorder="1" applyAlignment="1" applyProtection="1">
      <alignment horizontal="center"/>
      <protection locked="0"/>
    </xf>
    <xf numFmtId="0" fontId="10" fillId="0" borderId="12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4" fontId="9" fillId="0" borderId="11" xfId="0" applyNumberFormat="1" applyFont="1" applyBorder="1" applyAlignment="1">
      <alignment horizontal="center" vertical="center" wrapText="1"/>
    </xf>
    <xf numFmtId="4" fontId="10" fillId="0" borderId="16" xfId="0" applyNumberFormat="1" applyFont="1" applyFill="1" applyBorder="1" applyAlignment="1">
      <alignment horizontal="center"/>
    </xf>
    <xf numFmtId="4" fontId="10" fillId="0" borderId="17" xfId="0" applyNumberFormat="1" applyFont="1" applyFill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2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173" fontId="9" fillId="0" borderId="18" xfId="0" applyNumberFormat="1" applyFont="1" applyBorder="1" applyAlignment="1">
      <alignment horizontal="center" vertical="center" wrapText="1"/>
    </xf>
    <xf numFmtId="173" fontId="9" fillId="0" borderId="19" xfId="0" applyNumberFormat="1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4" fontId="10" fillId="33" borderId="16" xfId="0" applyNumberFormat="1" applyFont="1" applyFill="1" applyBorder="1" applyAlignment="1">
      <alignment horizontal="center"/>
    </xf>
    <xf numFmtId="4" fontId="10" fillId="33" borderId="17" xfId="0" applyNumberFormat="1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19" xfId="0" applyFont="1" applyFill="1" applyBorder="1" applyAlignment="1">
      <alignment horizontal="center"/>
    </xf>
    <xf numFmtId="0" fontId="9" fillId="33" borderId="12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14" fillId="33" borderId="16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/>
    </xf>
    <xf numFmtId="173" fontId="9" fillId="33" borderId="18" xfId="0" applyNumberFormat="1" applyFont="1" applyFill="1" applyBorder="1" applyAlignment="1">
      <alignment horizontal="center" vertical="center" wrapText="1"/>
    </xf>
    <xf numFmtId="173" fontId="9" fillId="33" borderId="19" xfId="0" applyNumberFormat="1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6" xfId="0" applyFont="1" applyBorder="1" applyAlignment="1">
      <alignment horizontal="left" vertical="top"/>
    </xf>
    <xf numFmtId="0" fontId="10" fillId="0" borderId="0" xfId="0" applyFont="1" applyBorder="1" applyAlignment="1">
      <alignment horizontal="left" vertical="top"/>
    </xf>
    <xf numFmtId="0" fontId="10" fillId="0" borderId="17" xfId="0" applyFont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0" fillId="0" borderId="17" xfId="0" applyFont="1" applyBorder="1" applyAlignment="1">
      <alignment horizontal="left" vertical="top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Dezimal_IM2130" xfId="43"/>
    <cellStyle name="Eingabe" xfId="44"/>
    <cellStyle name="Ergebnis" xfId="45"/>
    <cellStyle name="Erklärender Text" xfId="46"/>
    <cellStyle name="Gut" xfId="47"/>
    <cellStyle name="Neutral" xfId="48"/>
    <cellStyle name="Notiz" xfId="49"/>
    <cellStyle name="Percent" xfId="50"/>
    <cellStyle name="Schlecht" xfId="51"/>
    <cellStyle name="Standard_IM2130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549</xdr:row>
      <xdr:rowOff>0</xdr:rowOff>
    </xdr:from>
    <xdr:to>
      <xdr:col>14</xdr:col>
      <xdr:colOff>504825</xdr:colOff>
      <xdr:row>549</xdr:row>
      <xdr:rowOff>0</xdr:rowOff>
    </xdr:to>
    <xdr:sp>
      <xdr:nvSpPr>
        <xdr:cNvPr id="1" name="Rectangle 19"/>
        <xdr:cNvSpPr>
          <a:spLocks/>
        </xdr:cNvSpPr>
      </xdr:nvSpPr>
      <xdr:spPr>
        <a:xfrm>
          <a:off x="2190750" y="88934925"/>
          <a:ext cx="643890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workbookViewId="0" topLeftCell="A1">
      <selection activeCell="I53" sqref="I53"/>
    </sheetView>
  </sheetViews>
  <sheetFormatPr defaultColWidth="11.00390625" defaultRowHeight="12.75"/>
  <cols>
    <col min="1" max="1" width="6.8515625" style="48" customWidth="1"/>
    <col min="2" max="2" width="7.8515625" style="48" customWidth="1"/>
    <col min="3" max="3" width="26.8515625" style="48" customWidth="1"/>
    <col min="4" max="10" width="10.7109375" style="48" customWidth="1"/>
    <col min="11" max="11" width="10.7109375" style="98" customWidth="1"/>
    <col min="12" max="12" width="12.421875" style="98" customWidth="1"/>
    <col min="13" max="13" width="13.8515625" style="48" customWidth="1"/>
    <col min="14" max="16384" width="11.00390625" style="48" customWidth="1"/>
  </cols>
  <sheetData>
    <row r="1" spans="1:8" ht="15" customHeight="1">
      <c r="A1" s="42" t="s">
        <v>507</v>
      </c>
      <c r="B1" s="42"/>
      <c r="H1" s="42" t="s">
        <v>312</v>
      </c>
    </row>
    <row r="3" spans="1:2" ht="8.25">
      <c r="A3" s="51" t="s">
        <v>194</v>
      </c>
      <c r="B3" s="51"/>
    </row>
    <row r="5" spans="1:11" ht="9">
      <c r="A5" s="99" t="s">
        <v>313</v>
      </c>
      <c r="B5" s="99" t="s">
        <v>195</v>
      </c>
      <c r="C5" s="99" t="s">
        <v>196</v>
      </c>
      <c r="D5" s="100" t="s">
        <v>412</v>
      </c>
      <c r="E5" s="643" t="s">
        <v>197</v>
      </c>
      <c r="F5" s="644"/>
      <c r="G5" s="645"/>
      <c r="H5" s="643" t="s">
        <v>198</v>
      </c>
      <c r="I5" s="645"/>
      <c r="J5" s="101" t="s">
        <v>199</v>
      </c>
      <c r="K5" s="99" t="s">
        <v>200</v>
      </c>
    </row>
    <row r="6" spans="1:11" ht="9">
      <c r="A6" s="102"/>
      <c r="B6" s="102"/>
      <c r="C6" s="103"/>
      <c r="D6" s="104">
        <v>2013</v>
      </c>
      <c r="E6" s="105"/>
      <c r="F6" s="641"/>
      <c r="G6" s="642"/>
      <c r="H6" s="105"/>
      <c r="I6" s="111"/>
      <c r="J6" s="106" t="s">
        <v>201</v>
      </c>
      <c r="K6" s="102" t="s">
        <v>202</v>
      </c>
    </row>
    <row r="7" spans="1:11" ht="9">
      <c r="A7" s="103"/>
      <c r="B7" s="103"/>
      <c r="C7" s="103"/>
      <c r="D7" s="104"/>
      <c r="E7" s="103"/>
      <c r="F7" s="107" t="s">
        <v>190</v>
      </c>
      <c r="G7" s="107"/>
      <c r="H7" s="103"/>
      <c r="I7" s="107"/>
      <c r="J7" s="106" t="s">
        <v>203</v>
      </c>
      <c r="K7" s="103"/>
    </row>
    <row r="8" spans="1:11" ht="9">
      <c r="A8" s="108"/>
      <c r="B8" s="108"/>
      <c r="C8" s="109"/>
      <c r="D8" s="110" t="s">
        <v>204</v>
      </c>
      <c r="E8" s="108" t="s">
        <v>205</v>
      </c>
      <c r="F8" s="108" t="s">
        <v>132</v>
      </c>
      <c r="G8" s="108" t="s">
        <v>133</v>
      </c>
      <c r="H8" s="108" t="s">
        <v>294</v>
      </c>
      <c r="I8" s="108" t="s">
        <v>134</v>
      </c>
      <c r="J8" s="111" t="s">
        <v>206</v>
      </c>
      <c r="K8" s="108" t="s">
        <v>207</v>
      </c>
    </row>
    <row r="9" spans="1:11" s="13" customFormat="1" ht="9">
      <c r="A9" s="112" t="s">
        <v>208</v>
      </c>
      <c r="B9" s="112"/>
      <c r="C9" s="112" t="s">
        <v>209</v>
      </c>
      <c r="D9" s="113" t="s">
        <v>210</v>
      </c>
      <c r="E9" s="114" t="s">
        <v>211</v>
      </c>
      <c r="F9" s="114" t="s">
        <v>212</v>
      </c>
      <c r="G9" s="114" t="s">
        <v>213</v>
      </c>
      <c r="H9" s="114" t="s">
        <v>214</v>
      </c>
      <c r="I9" s="114" t="s">
        <v>347</v>
      </c>
      <c r="J9" s="115" t="s">
        <v>215</v>
      </c>
      <c r="K9" s="114" t="s">
        <v>216</v>
      </c>
    </row>
    <row r="10" spans="1:12" s="51" customFormat="1" ht="12" customHeight="1">
      <c r="A10" s="116"/>
      <c r="B10" s="116"/>
      <c r="C10" s="116"/>
      <c r="D10" s="117"/>
      <c r="E10" s="118"/>
      <c r="F10" s="118" t="s">
        <v>217</v>
      </c>
      <c r="G10" s="118" t="s">
        <v>218</v>
      </c>
      <c r="H10" s="118"/>
      <c r="I10" s="118" t="s">
        <v>219</v>
      </c>
      <c r="J10" s="119" t="s">
        <v>220</v>
      </c>
      <c r="K10" s="120" t="s">
        <v>221</v>
      </c>
      <c r="L10" s="121"/>
    </row>
    <row r="11" spans="1:12" s="51" customFormat="1" ht="11.25" customHeight="1">
      <c r="A11" s="112">
        <v>541120</v>
      </c>
      <c r="B11" s="112">
        <v>46100</v>
      </c>
      <c r="C11" s="122" t="s">
        <v>268</v>
      </c>
      <c r="D11" s="368">
        <v>4400</v>
      </c>
      <c r="E11" s="347">
        <f>SUM(F11:G11)</f>
        <v>0</v>
      </c>
      <c r="F11" s="347">
        <v>0</v>
      </c>
      <c r="G11" s="347">
        <v>0</v>
      </c>
      <c r="H11" s="347">
        <f>SUM(I11:I11)</f>
        <v>4400</v>
      </c>
      <c r="I11" s="347">
        <v>4400</v>
      </c>
      <c r="J11" s="519">
        <v>0</v>
      </c>
      <c r="K11" s="520">
        <v>0</v>
      </c>
      <c r="L11" s="121"/>
    </row>
    <row r="12" spans="1:12" s="51" customFormat="1" ht="11.25" customHeight="1">
      <c r="A12" s="112"/>
      <c r="B12" s="112"/>
      <c r="C12" s="122" t="s">
        <v>363</v>
      </c>
      <c r="D12" s="368">
        <v>6400</v>
      </c>
      <c r="E12" s="347">
        <f aca="true" t="shared" si="0" ref="E12:E26">SUM(F12:G12)</f>
        <v>5760</v>
      </c>
      <c r="F12" s="347">
        <v>35.14</v>
      </c>
      <c r="G12" s="347">
        <v>5724.86</v>
      </c>
      <c r="H12" s="347">
        <v>640</v>
      </c>
      <c r="I12" s="347">
        <v>640</v>
      </c>
      <c r="J12" s="519">
        <v>0</v>
      </c>
      <c r="K12" s="519">
        <v>0</v>
      </c>
      <c r="L12" s="121"/>
    </row>
    <row r="13" spans="1:12" s="51" customFormat="1" ht="11.25" customHeight="1">
      <c r="A13" s="112">
        <v>522230</v>
      </c>
      <c r="B13" s="112"/>
      <c r="C13" s="122" t="s">
        <v>371</v>
      </c>
      <c r="D13" s="368">
        <v>2000</v>
      </c>
      <c r="E13" s="347">
        <f t="shared" si="0"/>
        <v>1800</v>
      </c>
      <c r="F13" s="347">
        <v>10.98</v>
      </c>
      <c r="G13" s="347">
        <v>1789.02</v>
      </c>
      <c r="H13" s="347">
        <f>SUM(I13:I13)</f>
        <v>200</v>
      </c>
      <c r="I13" s="347">
        <v>200</v>
      </c>
      <c r="J13" s="519">
        <v>0</v>
      </c>
      <c r="K13" s="519">
        <v>0</v>
      </c>
      <c r="L13" s="121"/>
    </row>
    <row r="14" spans="1:12" s="51" customFormat="1" ht="12" customHeight="1">
      <c r="A14" s="112">
        <v>523120</v>
      </c>
      <c r="B14" s="112"/>
      <c r="C14" s="122" t="s">
        <v>375</v>
      </c>
      <c r="D14" s="368">
        <v>500</v>
      </c>
      <c r="E14" s="347">
        <f t="shared" si="0"/>
        <v>0</v>
      </c>
      <c r="F14" s="347">
        <v>0</v>
      </c>
      <c r="G14" s="347">
        <v>0</v>
      </c>
      <c r="H14" s="347">
        <f>SUM(I14:I14)</f>
        <v>500</v>
      </c>
      <c r="I14" s="347">
        <v>500</v>
      </c>
      <c r="J14" s="519">
        <v>0</v>
      </c>
      <c r="K14" s="519">
        <v>0</v>
      </c>
      <c r="L14" s="121"/>
    </row>
    <row r="15" spans="1:12" s="51" customFormat="1" ht="11.25" customHeight="1">
      <c r="A15" s="112">
        <v>523200</v>
      </c>
      <c r="B15" s="112"/>
      <c r="C15" s="122" t="s">
        <v>404</v>
      </c>
      <c r="D15" s="368">
        <v>11600</v>
      </c>
      <c r="E15" s="347">
        <f t="shared" si="0"/>
        <v>0</v>
      </c>
      <c r="F15" s="347">
        <v>0</v>
      </c>
      <c r="G15" s="347">
        <v>0</v>
      </c>
      <c r="H15" s="347">
        <f>SUM(I15:I15)</f>
        <v>11600</v>
      </c>
      <c r="I15" s="347">
        <v>11600</v>
      </c>
      <c r="J15" s="519">
        <v>0</v>
      </c>
      <c r="K15" s="519">
        <v>0</v>
      </c>
      <c r="L15" s="121"/>
    </row>
    <row r="16" spans="1:11" ht="11.25" customHeight="1">
      <c r="A16" s="112">
        <v>523211</v>
      </c>
      <c r="B16" s="112">
        <v>53300</v>
      </c>
      <c r="C16" s="122" t="s">
        <v>222</v>
      </c>
      <c r="D16" s="368">
        <v>32000</v>
      </c>
      <c r="E16" s="347">
        <f t="shared" si="0"/>
        <v>24284.8</v>
      </c>
      <c r="F16" s="347">
        <v>0</v>
      </c>
      <c r="G16" s="347">
        <f>ROUND(D16*75.89%,2)</f>
        <v>24284.8</v>
      </c>
      <c r="H16" s="347">
        <f>SUM(I16:I16)</f>
        <v>4572.8</v>
      </c>
      <c r="I16" s="347">
        <f>ROUND(D16*14.29%,2)</f>
        <v>4572.8</v>
      </c>
      <c r="J16" s="519">
        <f>ROUND(D16*7.59%,2)</f>
        <v>2428.8</v>
      </c>
      <c r="K16" s="519">
        <f>ROUND(D16*2.23%,2)</f>
        <v>713.6</v>
      </c>
    </row>
    <row r="17" spans="1:13" ht="11.25" customHeight="1">
      <c r="A17" s="112">
        <v>525110</v>
      </c>
      <c r="B17" s="112">
        <v>55100</v>
      </c>
      <c r="C17" s="122" t="s">
        <v>223</v>
      </c>
      <c r="D17" s="368">
        <v>10000</v>
      </c>
      <c r="E17" s="347">
        <f t="shared" si="0"/>
        <v>0</v>
      </c>
      <c r="F17" s="347">
        <v>0</v>
      </c>
      <c r="G17" s="347">
        <v>0</v>
      </c>
      <c r="H17" s="347">
        <f aca="true" t="shared" si="1" ref="H17:H26">SUM(I17:I17)</f>
        <v>10000</v>
      </c>
      <c r="I17" s="347">
        <f>ROUND(D17*100%,2)</f>
        <v>10000</v>
      </c>
      <c r="J17" s="519">
        <v>0</v>
      </c>
      <c r="K17" s="520">
        <v>0</v>
      </c>
      <c r="L17" s="48"/>
      <c r="M17" s="211"/>
    </row>
    <row r="18" spans="1:11" ht="11.25" customHeight="1">
      <c r="A18" s="112">
        <v>525111</v>
      </c>
      <c r="B18" s="112">
        <v>55101</v>
      </c>
      <c r="C18" s="122" t="s">
        <v>55</v>
      </c>
      <c r="D18" s="368">
        <v>5000</v>
      </c>
      <c r="E18" s="347">
        <f t="shared" si="0"/>
        <v>3794.5</v>
      </c>
      <c r="F18" s="347">
        <v>0</v>
      </c>
      <c r="G18" s="347">
        <f>ROUND(D18*75.89%,2)</f>
        <v>3794.5</v>
      </c>
      <c r="H18" s="347">
        <f t="shared" si="1"/>
        <v>714.5</v>
      </c>
      <c r="I18" s="347">
        <f>ROUND(D18*14.29%,2)</f>
        <v>714.5</v>
      </c>
      <c r="J18" s="519">
        <f>ROUND(D18*7.59%,2)</f>
        <v>379.5</v>
      </c>
      <c r="K18" s="519">
        <f>ROUND(D18*2.23%,2)</f>
        <v>111.5</v>
      </c>
    </row>
    <row r="19" spans="1:11" ht="11.25" customHeight="1">
      <c r="A19" s="112">
        <v>525120</v>
      </c>
      <c r="B19" s="112">
        <v>55200</v>
      </c>
      <c r="C19" s="122" t="s">
        <v>224</v>
      </c>
      <c r="D19" s="368">
        <v>10500</v>
      </c>
      <c r="E19" s="347">
        <f t="shared" si="0"/>
        <v>7968.45</v>
      </c>
      <c r="F19" s="347">
        <v>0</v>
      </c>
      <c r="G19" s="347">
        <f>ROUND(D19*75.89%,2)</f>
        <v>7968.45</v>
      </c>
      <c r="H19" s="347">
        <f t="shared" si="1"/>
        <v>1500.45</v>
      </c>
      <c r="I19" s="347">
        <f>ROUND(D19*14.29%,2)</f>
        <v>1500.45</v>
      </c>
      <c r="J19" s="519">
        <f>ROUND(D19*7.59%,2)</f>
        <v>796.95</v>
      </c>
      <c r="K19" s="519">
        <f>ROUND(D19*2.23%,2)</f>
        <v>234.15</v>
      </c>
    </row>
    <row r="20" spans="1:11" ht="11.25" customHeight="1">
      <c r="A20" s="112">
        <v>525130</v>
      </c>
      <c r="B20" s="112">
        <v>55300</v>
      </c>
      <c r="C20" s="122" t="s">
        <v>57</v>
      </c>
      <c r="D20" s="368">
        <v>300</v>
      </c>
      <c r="E20" s="347">
        <f t="shared" si="0"/>
        <v>227.67</v>
      </c>
      <c r="F20" s="347">
        <v>0</v>
      </c>
      <c r="G20" s="347">
        <f>ROUND(D20*75.89%,2)</f>
        <v>227.67</v>
      </c>
      <c r="H20" s="347">
        <f t="shared" si="1"/>
        <v>42.87</v>
      </c>
      <c r="I20" s="347">
        <f>ROUND(D20*14.29%,2)</f>
        <v>42.87</v>
      </c>
      <c r="J20" s="519">
        <f>ROUND(D20*7.59%,2)</f>
        <v>22.77</v>
      </c>
      <c r="K20" s="519">
        <f>ROUND(D20*2.23%,2)</f>
        <v>6.69</v>
      </c>
    </row>
    <row r="21" spans="1:11" ht="11.25" customHeight="1">
      <c r="A21" s="112">
        <v>525140</v>
      </c>
      <c r="B21" s="112">
        <v>55400</v>
      </c>
      <c r="C21" s="122" t="s">
        <v>225</v>
      </c>
      <c r="D21" s="368">
        <v>600</v>
      </c>
      <c r="E21" s="347">
        <f t="shared" si="0"/>
        <v>455.34</v>
      </c>
      <c r="F21" s="347">
        <v>0</v>
      </c>
      <c r="G21" s="347">
        <f>ROUND(D21*75.89%,2)</f>
        <v>455.34</v>
      </c>
      <c r="H21" s="347">
        <f t="shared" si="1"/>
        <v>85.74</v>
      </c>
      <c r="I21" s="347">
        <f>ROUND(D21*14.29%,2)</f>
        <v>85.74</v>
      </c>
      <c r="J21" s="519">
        <f>ROUND(D21*7.59%,2)</f>
        <v>45.54</v>
      </c>
      <c r="K21" s="519">
        <f>ROUND(D21*2.23%,2)</f>
        <v>13.38</v>
      </c>
    </row>
    <row r="22" spans="1:11" ht="11.25" customHeight="1">
      <c r="A22" s="112">
        <v>528110</v>
      </c>
      <c r="B22" s="112">
        <v>57000</v>
      </c>
      <c r="C22" s="122" t="s">
        <v>226</v>
      </c>
      <c r="D22" s="368">
        <v>5000</v>
      </c>
      <c r="E22" s="347">
        <f t="shared" si="0"/>
        <v>0</v>
      </c>
      <c r="F22" s="347">
        <v>0</v>
      </c>
      <c r="G22" s="347">
        <v>0</v>
      </c>
      <c r="H22" s="347">
        <f t="shared" si="1"/>
        <v>5000</v>
      </c>
      <c r="I22" s="347">
        <f>ROUND(D22*100%,2)</f>
        <v>5000</v>
      </c>
      <c r="J22" s="519">
        <v>0</v>
      </c>
      <c r="K22" s="520">
        <v>0</v>
      </c>
    </row>
    <row r="23" spans="1:11" ht="11.25" customHeight="1">
      <c r="A23" s="112">
        <v>528112</v>
      </c>
      <c r="B23" s="112"/>
      <c r="C23" s="122" t="s">
        <v>368</v>
      </c>
      <c r="D23" s="368">
        <v>60000</v>
      </c>
      <c r="E23" s="347">
        <f t="shared" si="0"/>
        <v>0</v>
      </c>
      <c r="F23" s="347">
        <v>0</v>
      </c>
      <c r="G23" s="347">
        <v>0</v>
      </c>
      <c r="H23" s="347">
        <f t="shared" si="1"/>
        <v>60000</v>
      </c>
      <c r="I23" s="347">
        <f>ROUND(D23*100%,2)</f>
        <v>60000</v>
      </c>
      <c r="J23" s="519">
        <v>0</v>
      </c>
      <c r="K23" s="520">
        <v>0</v>
      </c>
    </row>
    <row r="24" spans="1:11" ht="11.25" customHeight="1">
      <c r="A24" s="112">
        <v>529140</v>
      </c>
      <c r="B24" s="112">
        <v>57200</v>
      </c>
      <c r="C24" s="122" t="s">
        <v>115</v>
      </c>
      <c r="D24" s="368">
        <v>77200</v>
      </c>
      <c r="E24" s="347">
        <f t="shared" si="0"/>
        <v>39200</v>
      </c>
      <c r="F24" s="347">
        <v>5200</v>
      </c>
      <c r="G24" s="347">
        <v>34000</v>
      </c>
      <c r="H24" s="347">
        <f t="shared" si="1"/>
        <v>38000</v>
      </c>
      <c r="I24" s="347">
        <v>38000</v>
      </c>
      <c r="J24" s="519">
        <v>0</v>
      </c>
      <c r="K24" s="520">
        <v>0</v>
      </c>
    </row>
    <row r="25" spans="1:11" ht="11.25" customHeight="1">
      <c r="A25" s="112">
        <v>529190</v>
      </c>
      <c r="B25" s="112"/>
      <c r="C25" s="122" t="s">
        <v>377</v>
      </c>
      <c r="D25" s="368">
        <v>800</v>
      </c>
      <c r="E25" s="347">
        <f t="shared" si="0"/>
        <v>0</v>
      </c>
      <c r="F25" s="347">
        <v>0</v>
      </c>
      <c r="G25" s="347">
        <v>0</v>
      </c>
      <c r="H25" s="347">
        <f t="shared" si="1"/>
        <v>800</v>
      </c>
      <c r="I25" s="347">
        <v>800</v>
      </c>
      <c r="J25" s="519">
        <v>0</v>
      </c>
      <c r="K25" s="519">
        <v>0</v>
      </c>
    </row>
    <row r="26" spans="1:13" ht="11.25" customHeight="1">
      <c r="A26" s="112">
        <v>524190</v>
      </c>
      <c r="B26" s="112">
        <v>58900</v>
      </c>
      <c r="C26" s="122" t="s">
        <v>456</v>
      </c>
      <c r="D26" s="368">
        <v>16000</v>
      </c>
      <c r="E26" s="347">
        <f t="shared" si="0"/>
        <v>12142.4</v>
      </c>
      <c r="F26" s="347">
        <v>0</v>
      </c>
      <c r="G26" s="347">
        <f>ROUND(D26*75.89%,2)</f>
        <v>12142.4</v>
      </c>
      <c r="H26" s="347">
        <f t="shared" si="1"/>
        <v>2286.4</v>
      </c>
      <c r="I26" s="347">
        <f>ROUND(D26*14.29%,2)</f>
        <v>2286.4</v>
      </c>
      <c r="J26" s="519">
        <f>ROUND(D26*7.59%,2)</f>
        <v>1214.4</v>
      </c>
      <c r="K26" s="519">
        <f>ROUND(D26*2.23%,2)</f>
        <v>356.8</v>
      </c>
      <c r="M26" s="123"/>
    </row>
    <row r="27" spans="1:13" ht="11.25" customHeight="1">
      <c r="A27" s="112">
        <v>581110</v>
      </c>
      <c r="B27" s="112">
        <v>67900</v>
      </c>
      <c r="C27" s="122" t="s">
        <v>351</v>
      </c>
      <c r="D27" s="368">
        <v>241099.93</v>
      </c>
      <c r="E27" s="347">
        <f>SUM(F27+G27)</f>
        <v>114476.84999999999</v>
      </c>
      <c r="F27" s="347">
        <v>15330.4</v>
      </c>
      <c r="G27" s="347">
        <v>99146.45</v>
      </c>
      <c r="H27" s="347">
        <v>122233.36</v>
      </c>
      <c r="I27" s="347">
        <v>122233.36</v>
      </c>
      <c r="J27" s="347">
        <v>3060.96</v>
      </c>
      <c r="K27" s="347">
        <v>1328.76</v>
      </c>
      <c r="M27" s="123"/>
    </row>
    <row r="28" spans="1:11" ht="11.25" customHeight="1">
      <c r="A28" s="270">
        <v>359998</v>
      </c>
      <c r="B28" s="270">
        <v>68000</v>
      </c>
      <c r="C28" s="122" t="s">
        <v>349</v>
      </c>
      <c r="D28" s="368">
        <v>3869.99</v>
      </c>
      <c r="E28" s="347">
        <f>SUM(F28:G28)</f>
        <v>0</v>
      </c>
      <c r="F28" s="347">
        <v>0</v>
      </c>
      <c r="G28" s="347">
        <v>0</v>
      </c>
      <c r="H28" s="347">
        <f>SUM(I28:I28)</f>
        <v>3869.99</v>
      </c>
      <c r="I28" s="347">
        <v>3869.99</v>
      </c>
      <c r="J28" s="623">
        <v>0</v>
      </c>
      <c r="K28" s="347">
        <v>0</v>
      </c>
    </row>
    <row r="29" spans="1:11" ht="12" customHeight="1">
      <c r="A29" s="270">
        <v>359998</v>
      </c>
      <c r="B29" s="270">
        <v>68500</v>
      </c>
      <c r="C29" s="122" t="s">
        <v>350</v>
      </c>
      <c r="D29" s="368">
        <v>1322.84</v>
      </c>
      <c r="E29" s="347">
        <f>SUM(F29:G29)</f>
        <v>0</v>
      </c>
      <c r="F29" s="347">
        <v>0</v>
      </c>
      <c r="G29" s="347">
        <v>0</v>
      </c>
      <c r="H29" s="347">
        <f>SUM(I29:I29)</f>
        <v>1322.84</v>
      </c>
      <c r="I29" s="347">
        <v>1322.84</v>
      </c>
      <c r="J29" s="623">
        <v>0</v>
      </c>
      <c r="K29" s="347">
        <v>0</v>
      </c>
    </row>
    <row r="30" spans="1:11" ht="12" customHeight="1">
      <c r="A30" s="369"/>
      <c r="B30" s="369"/>
      <c r="C30" s="122" t="s">
        <v>521</v>
      </c>
      <c r="D30" s="368">
        <v>35585.64</v>
      </c>
      <c r="E30" s="624"/>
      <c r="F30" s="624"/>
      <c r="G30" s="624"/>
      <c r="H30" s="624">
        <v>35585.64</v>
      </c>
      <c r="I30" s="347">
        <v>35585.64</v>
      </c>
      <c r="J30" s="625"/>
      <c r="K30" s="347"/>
    </row>
    <row r="31" spans="1:12" ht="9">
      <c r="A31" s="112"/>
      <c r="B31" s="112"/>
      <c r="C31" s="122" t="s">
        <v>131</v>
      </c>
      <c r="D31" s="368">
        <f>SUM(D11:D30)</f>
        <v>524178.4</v>
      </c>
      <c r="E31" s="368">
        <f>SUM(E11:E29)</f>
        <v>210110.00999999998</v>
      </c>
      <c r="F31" s="368">
        <f>SUM(F11:F29)</f>
        <v>20576.52</v>
      </c>
      <c r="G31" s="368">
        <f>SUM(G11:G29)</f>
        <v>189533.49</v>
      </c>
      <c r="H31" s="368">
        <f>SUM(H11:H30)</f>
        <v>303354.59</v>
      </c>
      <c r="I31" s="368">
        <f>SUM(I11:I30)</f>
        <v>303354.59</v>
      </c>
      <c r="J31" s="368">
        <f>SUM(J16:J27)+SUM(J28:J29)</f>
        <v>7948.92</v>
      </c>
      <c r="K31" s="368">
        <f>SUM(K16:K27)+SUM(K28:K29)</f>
        <v>2764.88</v>
      </c>
      <c r="L31" s="48"/>
    </row>
    <row r="32" spans="1:11" ht="8.25">
      <c r="A32" s="124"/>
      <c r="B32" s="124"/>
      <c r="C32" s="637" t="s">
        <v>516</v>
      </c>
      <c r="D32" s="638" t="s">
        <v>522</v>
      </c>
      <c r="E32" s="550"/>
      <c r="F32" s="125"/>
      <c r="G32" s="125"/>
      <c r="H32" s="125"/>
      <c r="I32" s="125"/>
      <c r="J32" s="125"/>
      <c r="K32" s="125"/>
    </row>
    <row r="33" spans="1:11" ht="9">
      <c r="A33" s="208" t="s">
        <v>227</v>
      </c>
      <c r="B33" s="208"/>
      <c r="D33" s="125"/>
      <c r="E33" s="125"/>
      <c r="F33" s="125"/>
      <c r="G33" s="125"/>
      <c r="H33" s="125"/>
      <c r="I33" s="125"/>
      <c r="J33" s="125"/>
      <c r="K33" s="125"/>
    </row>
    <row r="34" spans="1:11" ht="8.25">
      <c r="A34" s="126" t="s">
        <v>190</v>
      </c>
      <c r="B34" s="126"/>
      <c r="D34" s="125"/>
      <c r="E34" s="125"/>
      <c r="F34" s="125"/>
      <c r="G34" s="125"/>
      <c r="H34" s="125"/>
      <c r="I34" s="125"/>
      <c r="J34" s="125"/>
      <c r="K34" s="125"/>
    </row>
    <row r="35" spans="1:11" ht="9">
      <c r="A35" s="99" t="s">
        <v>313</v>
      </c>
      <c r="B35" s="99" t="s">
        <v>195</v>
      </c>
      <c r="C35" s="99" t="s">
        <v>196</v>
      </c>
      <c r="D35" s="100" t="s">
        <v>412</v>
      </c>
      <c r="E35" s="100" t="s">
        <v>228</v>
      </c>
      <c r="F35" s="204"/>
      <c r="G35" s="205"/>
      <c r="H35" s="100" t="s">
        <v>229</v>
      </c>
      <c r="I35" s="205"/>
      <c r="J35" s="101" t="s">
        <v>199</v>
      </c>
      <c r="K35" s="99" t="s">
        <v>200</v>
      </c>
    </row>
    <row r="36" spans="1:11" ht="9">
      <c r="A36" s="102"/>
      <c r="B36" s="102"/>
      <c r="C36" s="103"/>
      <c r="D36" s="104" t="s">
        <v>415</v>
      </c>
      <c r="E36" s="105" t="s">
        <v>230</v>
      </c>
      <c r="F36" s="641" t="s">
        <v>231</v>
      </c>
      <c r="G36" s="642"/>
      <c r="H36" s="105" t="s">
        <v>232</v>
      </c>
      <c r="I36" s="111"/>
      <c r="J36" s="106" t="s">
        <v>201</v>
      </c>
      <c r="K36" s="102" t="s">
        <v>202</v>
      </c>
    </row>
    <row r="37" spans="1:11" ht="9">
      <c r="A37" s="103"/>
      <c r="B37" s="103"/>
      <c r="C37" s="103"/>
      <c r="D37" s="104"/>
      <c r="E37" s="103"/>
      <c r="F37" s="107" t="s">
        <v>190</v>
      </c>
      <c r="G37" s="107"/>
      <c r="H37" s="103"/>
      <c r="I37" s="107"/>
      <c r="J37" s="106" t="s">
        <v>203</v>
      </c>
      <c r="K37" s="103"/>
    </row>
    <row r="38" spans="1:11" ht="9">
      <c r="A38" s="108"/>
      <c r="B38" s="108"/>
      <c r="C38" s="109"/>
      <c r="D38" s="110" t="s">
        <v>204</v>
      </c>
      <c r="E38" s="108" t="s">
        <v>205</v>
      </c>
      <c r="F38" s="108" t="s">
        <v>132</v>
      </c>
      <c r="G38" s="108" t="s">
        <v>133</v>
      </c>
      <c r="H38" s="108" t="s">
        <v>294</v>
      </c>
      <c r="I38" s="108" t="s">
        <v>134</v>
      </c>
      <c r="J38" s="111" t="s">
        <v>206</v>
      </c>
      <c r="K38" s="108" t="s">
        <v>207</v>
      </c>
    </row>
    <row r="39" spans="1:11" s="13" customFormat="1" ht="9">
      <c r="A39" s="112" t="s">
        <v>208</v>
      </c>
      <c r="B39" s="112"/>
      <c r="C39" s="112" t="s">
        <v>209</v>
      </c>
      <c r="D39" s="113" t="s">
        <v>233</v>
      </c>
      <c r="E39" s="114" t="s">
        <v>234</v>
      </c>
      <c r="F39" s="114" t="s">
        <v>235</v>
      </c>
      <c r="G39" s="114" t="s">
        <v>236</v>
      </c>
      <c r="H39" s="114" t="s">
        <v>237</v>
      </c>
      <c r="I39" s="114" t="s">
        <v>348</v>
      </c>
      <c r="J39" s="115" t="s">
        <v>215</v>
      </c>
      <c r="K39" s="114" t="s">
        <v>216</v>
      </c>
    </row>
    <row r="40" spans="1:12" s="51" customFormat="1" ht="11.25" customHeight="1">
      <c r="A40" s="116"/>
      <c r="B40" s="116"/>
      <c r="C40" s="116" t="s">
        <v>238</v>
      </c>
      <c r="D40" s="117"/>
      <c r="E40" s="118"/>
      <c r="F40" s="118" t="s">
        <v>217</v>
      </c>
      <c r="G40" s="118" t="s">
        <v>218</v>
      </c>
      <c r="H40" s="118"/>
      <c r="I40" s="118" t="s">
        <v>219</v>
      </c>
      <c r="J40" s="119" t="s">
        <v>220</v>
      </c>
      <c r="K40" s="120" t="s">
        <v>221</v>
      </c>
      <c r="L40" s="121"/>
    </row>
    <row r="41" spans="1:11" ht="11.25" customHeight="1">
      <c r="A41" s="112">
        <v>432120</v>
      </c>
      <c r="B41" s="112">
        <v>11200</v>
      </c>
      <c r="C41" s="122" t="s">
        <v>239</v>
      </c>
      <c r="D41" s="368">
        <f>SUM(E41+I41+J41+K41)</f>
        <v>326973.37</v>
      </c>
      <c r="E41" s="370">
        <f>F41+G41</f>
        <v>136164.07</v>
      </c>
      <c r="F41" s="347">
        <v>14017.65</v>
      </c>
      <c r="G41" s="347">
        <v>122146.42</v>
      </c>
      <c r="H41" s="370">
        <v>190809.3</v>
      </c>
      <c r="I41" s="347">
        <v>190809.3</v>
      </c>
      <c r="J41" s="623">
        <v>0</v>
      </c>
      <c r="K41" s="347">
        <v>0</v>
      </c>
    </row>
    <row r="42" spans="1:12" ht="11.25" customHeight="1">
      <c r="A42" s="112"/>
      <c r="B42" s="112"/>
      <c r="C42" s="122" t="s">
        <v>240</v>
      </c>
      <c r="D42" s="206"/>
      <c r="E42" s="370"/>
      <c r="F42" s="370"/>
      <c r="G42" s="370"/>
      <c r="H42" s="370"/>
      <c r="I42" s="370"/>
      <c r="J42" s="626"/>
      <c r="K42" s="370"/>
      <c r="L42" s="48"/>
    </row>
    <row r="43" spans="1:11" ht="11.25" customHeight="1">
      <c r="A43" s="112">
        <v>481110</v>
      </c>
      <c r="B43" s="112">
        <v>16900</v>
      </c>
      <c r="C43" s="122" t="s">
        <v>5</v>
      </c>
      <c r="D43" s="206"/>
      <c r="E43" s="370"/>
      <c r="F43" s="370"/>
      <c r="G43" s="370"/>
      <c r="H43" s="370"/>
      <c r="I43" s="370"/>
      <c r="J43" s="626"/>
      <c r="K43" s="370"/>
    </row>
    <row r="44" spans="1:11" ht="11.25" customHeight="1">
      <c r="A44" s="112"/>
      <c r="B44" s="112"/>
      <c r="C44" s="122" t="s">
        <v>241</v>
      </c>
      <c r="D44" s="368">
        <f>SUM(E44+I44+J44+K44)</f>
        <v>128366.15</v>
      </c>
      <c r="E44" s="370">
        <f>F44+G44</f>
        <v>52527.5</v>
      </c>
      <c r="F44" s="370">
        <v>5144.13</v>
      </c>
      <c r="G44" s="370">
        <v>47383.37</v>
      </c>
      <c r="H44" s="370">
        <v>75838.65</v>
      </c>
      <c r="I44" s="370">
        <v>75838.65</v>
      </c>
      <c r="J44" s="626">
        <v>0</v>
      </c>
      <c r="K44" s="370">
        <v>0</v>
      </c>
    </row>
    <row r="45" spans="1:11" ht="11.25" customHeight="1">
      <c r="A45" s="112"/>
      <c r="B45" s="112"/>
      <c r="C45" s="122" t="s">
        <v>242</v>
      </c>
      <c r="D45" s="206"/>
      <c r="E45" s="370"/>
      <c r="F45" s="370"/>
      <c r="G45" s="370"/>
      <c r="H45" s="370"/>
      <c r="I45" s="370"/>
      <c r="J45" s="626"/>
      <c r="K45" s="370"/>
    </row>
    <row r="46" spans="1:11" ht="11.25" customHeight="1">
      <c r="A46" s="112"/>
      <c r="B46" s="112"/>
      <c r="C46" s="122" t="s">
        <v>243</v>
      </c>
      <c r="D46" s="368">
        <f>SUM(E46+I46+J46+K46)</f>
        <v>295.78999999999996</v>
      </c>
      <c r="E46" s="370">
        <f>F46+G46</f>
        <v>143.01</v>
      </c>
      <c r="F46" s="370">
        <v>0.57</v>
      </c>
      <c r="G46" s="370">
        <v>142.44</v>
      </c>
      <c r="H46" s="370">
        <v>152.78</v>
      </c>
      <c r="I46" s="370">
        <v>152.78</v>
      </c>
      <c r="J46" s="626">
        <v>0</v>
      </c>
      <c r="K46" s="370">
        <v>0</v>
      </c>
    </row>
    <row r="47" spans="1:11" ht="11.25" customHeight="1">
      <c r="A47" s="112"/>
      <c r="B47" s="112"/>
      <c r="C47" s="122" t="s">
        <v>244</v>
      </c>
      <c r="D47" s="368">
        <f>SUM(E47+I47+J47+K47)</f>
        <v>65778.21</v>
      </c>
      <c r="E47" s="370">
        <f>F47+G47</f>
        <v>21275.43</v>
      </c>
      <c r="F47" s="370">
        <v>1414.17</v>
      </c>
      <c r="G47" s="370">
        <v>19861.26</v>
      </c>
      <c r="H47" s="370">
        <v>36553.86</v>
      </c>
      <c r="I47" s="370">
        <v>36553.86</v>
      </c>
      <c r="J47" s="626">
        <v>7948.92</v>
      </c>
      <c r="K47" s="370">
        <v>0</v>
      </c>
    </row>
    <row r="48" spans="1:13" ht="11.25" customHeight="1">
      <c r="A48" s="112"/>
      <c r="B48" s="112"/>
      <c r="C48" s="122" t="s">
        <v>245</v>
      </c>
      <c r="D48" s="206"/>
      <c r="E48" s="370"/>
      <c r="F48" s="370"/>
      <c r="G48" s="370"/>
      <c r="H48" s="370"/>
      <c r="I48" s="370"/>
      <c r="J48" s="626"/>
      <c r="K48" s="370"/>
      <c r="M48" s="123"/>
    </row>
    <row r="49" spans="1:13" ht="11.25" customHeight="1">
      <c r="A49" s="112"/>
      <c r="B49" s="112"/>
      <c r="C49" s="122" t="s">
        <v>246</v>
      </c>
      <c r="D49" s="368">
        <f>SUM(E49+I49+J49+K49)</f>
        <v>2764.88</v>
      </c>
      <c r="E49" s="370"/>
      <c r="F49" s="370"/>
      <c r="G49" s="370"/>
      <c r="H49" s="370"/>
      <c r="I49" s="370"/>
      <c r="J49" s="626"/>
      <c r="K49" s="370">
        <v>2764.88</v>
      </c>
      <c r="M49" s="123"/>
    </row>
    <row r="50" spans="1:11" ht="9">
      <c r="A50" s="270">
        <v>359998</v>
      </c>
      <c r="B50" s="270">
        <v>28006</v>
      </c>
      <c r="C50" s="207" t="s">
        <v>247</v>
      </c>
      <c r="D50" s="368">
        <f>SUM(E50+I50+J50+K50)</f>
        <v>0</v>
      </c>
      <c r="E50" s="371">
        <v>0</v>
      </c>
      <c r="F50" s="627">
        <v>0</v>
      </c>
      <c r="G50" s="627">
        <v>0</v>
      </c>
      <c r="H50" s="370"/>
      <c r="I50" s="627">
        <v>0</v>
      </c>
      <c r="J50" s="628">
        <v>0</v>
      </c>
      <c r="K50" s="371">
        <v>0</v>
      </c>
    </row>
    <row r="51" spans="1:11" ht="9">
      <c r="A51" s="112"/>
      <c r="B51" s="112"/>
      <c r="C51" s="122" t="s">
        <v>131</v>
      </c>
      <c r="D51" s="368">
        <f aca="true" t="shared" si="2" ref="D51:K51">SUM(D41:D50)</f>
        <v>524178.4</v>
      </c>
      <c r="E51" s="371">
        <f t="shared" si="2"/>
        <v>210110.01</v>
      </c>
      <c r="F51" s="371">
        <f t="shared" si="2"/>
        <v>20576.519999999997</v>
      </c>
      <c r="G51" s="627">
        <f t="shared" si="2"/>
        <v>189533.49000000002</v>
      </c>
      <c r="H51" s="371">
        <f t="shared" si="2"/>
        <v>303354.58999999997</v>
      </c>
      <c r="I51" s="627">
        <f t="shared" si="2"/>
        <v>303354.58999999997</v>
      </c>
      <c r="J51" s="628">
        <f t="shared" si="2"/>
        <v>7948.92</v>
      </c>
      <c r="K51" s="371">
        <f t="shared" si="2"/>
        <v>2764.88</v>
      </c>
    </row>
    <row r="52" spans="4:12" ht="9">
      <c r="D52" s="268">
        <f>D51-D31</f>
        <v>0</v>
      </c>
      <c r="E52" s="208" t="s">
        <v>273</v>
      </c>
      <c r="F52" s="262"/>
      <c r="L52" s="48"/>
    </row>
    <row r="53" ht="8.25">
      <c r="D53" s="98"/>
    </row>
    <row r="54" spans="1:3" ht="9">
      <c r="A54" s="209" t="s">
        <v>248</v>
      </c>
      <c r="B54" s="209"/>
      <c r="C54" s="210" t="s">
        <v>249</v>
      </c>
    </row>
    <row r="55" spans="1:3" ht="9">
      <c r="A55" s="209"/>
      <c r="B55" s="209"/>
      <c r="C55" s="209" t="s">
        <v>514</v>
      </c>
    </row>
  </sheetData>
  <sheetProtection/>
  <mergeCells count="4">
    <mergeCell ref="F36:G36"/>
    <mergeCell ref="E5:G5"/>
    <mergeCell ref="H5:I5"/>
    <mergeCell ref="F6:G6"/>
  </mergeCells>
  <printOptions/>
  <pageMargins left="0.3937007874015748" right="0.3937007874015748" top="0.3937007874015748" bottom="0.1968503937007874" header="0.7086614173228347" footer="0.5118110236220472"/>
  <pageSetup horizontalDpi="300" verticalDpi="300" orientation="landscape" paperSize="9" r:id="rId1"/>
  <headerFooter alignWithMargins="0">
    <oddFooter>&amp;R&amp;8 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1">
      <pane xSplit="3" topLeftCell="D1" activePane="topRight" state="frozen"/>
      <selection pane="topLeft" activeCell="G407" sqref="G407"/>
      <selection pane="topRight" activeCell="I55" sqref="I55"/>
    </sheetView>
  </sheetViews>
  <sheetFormatPr defaultColWidth="11.00390625" defaultRowHeight="12.75"/>
  <cols>
    <col min="1" max="1" width="6.8515625" style="48" customWidth="1"/>
    <col min="2" max="2" width="7.8515625" style="48" customWidth="1"/>
    <col min="3" max="3" width="26.8515625" style="48" customWidth="1"/>
    <col min="4" max="10" width="10.7109375" style="48" customWidth="1"/>
    <col min="11" max="11" width="10.7109375" style="98" customWidth="1"/>
    <col min="12" max="12" width="12.421875" style="98" customWidth="1"/>
    <col min="13" max="13" width="13.8515625" style="48" customWidth="1"/>
    <col min="14" max="16384" width="11.00390625" style="48" customWidth="1"/>
  </cols>
  <sheetData>
    <row r="1" spans="1:8" ht="15" customHeight="1">
      <c r="A1" s="42" t="s">
        <v>506</v>
      </c>
      <c r="B1" s="42"/>
      <c r="H1" s="42" t="s">
        <v>312</v>
      </c>
    </row>
    <row r="3" spans="1:2" ht="8.25">
      <c r="A3" s="51" t="s">
        <v>194</v>
      </c>
      <c r="B3" s="51"/>
    </row>
    <row r="5" spans="1:11" ht="9">
      <c r="A5" s="99" t="s">
        <v>313</v>
      </c>
      <c r="B5" s="99" t="s">
        <v>195</v>
      </c>
      <c r="C5" s="99" t="s">
        <v>196</v>
      </c>
      <c r="D5" s="100" t="s">
        <v>412</v>
      </c>
      <c r="E5" s="643" t="s">
        <v>197</v>
      </c>
      <c r="F5" s="644"/>
      <c r="G5" s="645"/>
      <c r="H5" s="643" t="s">
        <v>198</v>
      </c>
      <c r="I5" s="645"/>
      <c r="J5" s="101" t="s">
        <v>199</v>
      </c>
      <c r="K5" s="99" t="s">
        <v>200</v>
      </c>
    </row>
    <row r="6" spans="1:11" ht="9">
      <c r="A6" s="102"/>
      <c r="B6" s="102"/>
      <c r="C6" s="103"/>
      <c r="D6" s="104">
        <v>2014</v>
      </c>
      <c r="E6" s="105"/>
      <c r="F6" s="641"/>
      <c r="G6" s="642"/>
      <c r="H6" s="105"/>
      <c r="I6" s="111"/>
      <c r="J6" s="106" t="s">
        <v>201</v>
      </c>
      <c r="K6" s="102" t="s">
        <v>202</v>
      </c>
    </row>
    <row r="7" spans="1:11" ht="9">
      <c r="A7" s="103"/>
      <c r="B7" s="103"/>
      <c r="C7" s="103"/>
      <c r="D7" s="104"/>
      <c r="E7" s="103"/>
      <c r="F7" s="107" t="s">
        <v>190</v>
      </c>
      <c r="G7" s="107"/>
      <c r="H7" s="103"/>
      <c r="I7" s="107"/>
      <c r="J7" s="106" t="s">
        <v>203</v>
      </c>
      <c r="K7" s="103"/>
    </row>
    <row r="8" spans="1:11" ht="9">
      <c r="A8" s="108"/>
      <c r="B8" s="108"/>
      <c r="C8" s="109"/>
      <c r="D8" s="110" t="s">
        <v>204</v>
      </c>
      <c r="E8" s="108" t="s">
        <v>205</v>
      </c>
      <c r="F8" s="108" t="s">
        <v>132</v>
      </c>
      <c r="G8" s="108" t="s">
        <v>133</v>
      </c>
      <c r="H8" s="108" t="s">
        <v>294</v>
      </c>
      <c r="I8" s="108" t="s">
        <v>134</v>
      </c>
      <c r="J8" s="111" t="s">
        <v>206</v>
      </c>
      <c r="K8" s="108" t="s">
        <v>207</v>
      </c>
    </row>
    <row r="9" spans="1:11" s="13" customFormat="1" ht="9">
      <c r="A9" s="112" t="s">
        <v>208</v>
      </c>
      <c r="B9" s="112"/>
      <c r="C9" s="112" t="s">
        <v>209</v>
      </c>
      <c r="D9" s="113" t="s">
        <v>210</v>
      </c>
      <c r="E9" s="114" t="s">
        <v>211</v>
      </c>
      <c r="F9" s="114" t="s">
        <v>212</v>
      </c>
      <c r="G9" s="114" t="s">
        <v>213</v>
      </c>
      <c r="H9" s="114" t="s">
        <v>214</v>
      </c>
      <c r="I9" s="114" t="s">
        <v>347</v>
      </c>
      <c r="J9" s="115" t="s">
        <v>215</v>
      </c>
      <c r="K9" s="114" t="s">
        <v>216</v>
      </c>
    </row>
    <row r="10" spans="1:12" s="51" customFormat="1" ht="12" customHeight="1">
      <c r="A10" s="116"/>
      <c r="B10" s="116"/>
      <c r="C10" s="116"/>
      <c r="D10" s="117"/>
      <c r="E10" s="118"/>
      <c r="F10" s="118" t="s">
        <v>217</v>
      </c>
      <c r="G10" s="118" t="s">
        <v>218</v>
      </c>
      <c r="H10" s="118"/>
      <c r="I10" s="118" t="s">
        <v>219</v>
      </c>
      <c r="J10" s="119" t="s">
        <v>220</v>
      </c>
      <c r="K10" s="120" t="s">
        <v>221</v>
      </c>
      <c r="L10" s="121"/>
    </row>
    <row r="11" spans="1:12" s="51" customFormat="1" ht="11.25" customHeight="1">
      <c r="A11" s="112">
        <v>541120</v>
      </c>
      <c r="B11" s="112">
        <v>46100</v>
      </c>
      <c r="C11" s="122" t="s">
        <v>268</v>
      </c>
      <c r="D11" s="368">
        <v>4400</v>
      </c>
      <c r="E11" s="347">
        <f>SUM(F11:G11)</f>
        <v>0</v>
      </c>
      <c r="F11" s="347">
        <v>0</v>
      </c>
      <c r="G11" s="347">
        <v>0</v>
      </c>
      <c r="H11" s="347">
        <f>SUM(I11:I11)</f>
        <v>4400</v>
      </c>
      <c r="I11" s="347">
        <v>4400</v>
      </c>
      <c r="J11" s="519">
        <v>0</v>
      </c>
      <c r="K11" s="520">
        <v>0</v>
      </c>
      <c r="L11" s="121"/>
    </row>
    <row r="12" spans="1:12" s="51" customFormat="1" ht="11.25" customHeight="1">
      <c r="A12" s="112"/>
      <c r="B12" s="112"/>
      <c r="C12" s="122" t="s">
        <v>363</v>
      </c>
      <c r="D12" s="368">
        <v>6500</v>
      </c>
      <c r="E12" s="347">
        <f aca="true" t="shared" si="0" ref="E12:E26">SUM(F12:G12)</f>
        <v>5850</v>
      </c>
      <c r="F12" s="347">
        <v>35.68</v>
      </c>
      <c r="G12" s="347">
        <v>5814.32</v>
      </c>
      <c r="H12" s="347">
        <v>650</v>
      </c>
      <c r="I12" s="347">
        <v>650</v>
      </c>
      <c r="J12" s="519">
        <v>0</v>
      </c>
      <c r="K12" s="519">
        <v>0</v>
      </c>
      <c r="L12" s="121"/>
    </row>
    <row r="13" spans="1:12" s="51" customFormat="1" ht="11.25" customHeight="1">
      <c r="A13" s="112">
        <v>522230</v>
      </c>
      <c r="B13" s="112"/>
      <c r="C13" s="122" t="s">
        <v>371</v>
      </c>
      <c r="D13" s="368">
        <v>2000</v>
      </c>
      <c r="E13" s="347">
        <f t="shared" si="0"/>
        <v>1800</v>
      </c>
      <c r="F13" s="347">
        <v>10.98</v>
      </c>
      <c r="G13" s="347">
        <v>1789.02</v>
      </c>
      <c r="H13" s="347">
        <f>SUM(I13:I13)</f>
        <v>200</v>
      </c>
      <c r="I13" s="347">
        <v>200</v>
      </c>
      <c r="J13" s="519">
        <v>0</v>
      </c>
      <c r="K13" s="519">
        <v>0</v>
      </c>
      <c r="L13" s="121"/>
    </row>
    <row r="14" spans="1:12" s="51" customFormat="1" ht="12" customHeight="1">
      <c r="A14" s="112">
        <v>523120</v>
      </c>
      <c r="B14" s="112"/>
      <c r="C14" s="122" t="s">
        <v>375</v>
      </c>
      <c r="D14" s="368">
        <v>500</v>
      </c>
      <c r="E14" s="347">
        <f t="shared" si="0"/>
        <v>0</v>
      </c>
      <c r="F14" s="347">
        <v>0</v>
      </c>
      <c r="G14" s="347">
        <v>0</v>
      </c>
      <c r="H14" s="347">
        <f>SUM(I14:I14)</f>
        <v>500</v>
      </c>
      <c r="I14" s="347">
        <v>500</v>
      </c>
      <c r="J14" s="519">
        <v>0</v>
      </c>
      <c r="K14" s="519">
        <v>0</v>
      </c>
      <c r="L14" s="121"/>
    </row>
    <row r="15" spans="1:12" s="51" customFormat="1" ht="11.25" customHeight="1">
      <c r="A15" s="112">
        <v>523200</v>
      </c>
      <c r="B15" s="112"/>
      <c r="C15" s="122" t="s">
        <v>404</v>
      </c>
      <c r="D15" s="368">
        <v>11600</v>
      </c>
      <c r="E15" s="347">
        <f t="shared" si="0"/>
        <v>0</v>
      </c>
      <c r="F15" s="347">
        <v>0</v>
      </c>
      <c r="G15" s="347">
        <v>0</v>
      </c>
      <c r="H15" s="347">
        <v>11600</v>
      </c>
      <c r="I15" s="347">
        <v>11600</v>
      </c>
      <c r="J15" s="519">
        <v>0</v>
      </c>
      <c r="K15" s="519">
        <v>0</v>
      </c>
      <c r="L15" s="121"/>
    </row>
    <row r="16" spans="1:11" ht="11.25" customHeight="1">
      <c r="A16" s="112">
        <v>523211</v>
      </c>
      <c r="B16" s="112">
        <v>53300</v>
      </c>
      <c r="C16" s="122" t="s">
        <v>222</v>
      </c>
      <c r="D16" s="368">
        <v>32000</v>
      </c>
      <c r="E16" s="347">
        <f t="shared" si="0"/>
        <v>24284.8</v>
      </c>
      <c r="F16" s="347">
        <v>0</v>
      </c>
      <c r="G16" s="347">
        <f>ROUND(D16*75.89%,2)</f>
        <v>24284.8</v>
      </c>
      <c r="H16" s="347">
        <f>SUM(I16:I16)</f>
        <v>4572.8</v>
      </c>
      <c r="I16" s="347">
        <f>ROUND(D16*14.29%,2)</f>
        <v>4572.8</v>
      </c>
      <c r="J16" s="519">
        <f>ROUND(D16*7.59%,2)</f>
        <v>2428.8</v>
      </c>
      <c r="K16" s="519">
        <f>ROUND(D16*2.23%,2)</f>
        <v>713.6</v>
      </c>
    </row>
    <row r="17" spans="1:13" ht="11.25" customHeight="1">
      <c r="A17" s="112">
        <v>525110</v>
      </c>
      <c r="B17" s="112">
        <v>55100</v>
      </c>
      <c r="C17" s="122" t="s">
        <v>223</v>
      </c>
      <c r="D17" s="368">
        <v>10000</v>
      </c>
      <c r="E17" s="347">
        <f t="shared" si="0"/>
        <v>0</v>
      </c>
      <c r="F17" s="347">
        <v>0</v>
      </c>
      <c r="G17" s="347">
        <v>0</v>
      </c>
      <c r="H17" s="347">
        <f aca="true" t="shared" si="1" ref="H17:H26">SUM(I17:I17)</f>
        <v>10000</v>
      </c>
      <c r="I17" s="347">
        <f>ROUND(D17*100%,2)</f>
        <v>10000</v>
      </c>
      <c r="J17" s="519">
        <v>0</v>
      </c>
      <c r="K17" s="520">
        <v>0</v>
      </c>
      <c r="L17" s="48"/>
      <c r="M17" s="211"/>
    </row>
    <row r="18" spans="1:11" ht="11.25" customHeight="1">
      <c r="A18" s="112">
        <v>525111</v>
      </c>
      <c r="B18" s="112">
        <v>55101</v>
      </c>
      <c r="C18" s="122" t="s">
        <v>55</v>
      </c>
      <c r="D18" s="368">
        <v>5000</v>
      </c>
      <c r="E18" s="347">
        <f t="shared" si="0"/>
        <v>3794.5</v>
      </c>
      <c r="F18" s="347">
        <v>0</v>
      </c>
      <c r="G18" s="347">
        <f>ROUND(D18*75.89%,2)</f>
        <v>3794.5</v>
      </c>
      <c r="H18" s="347">
        <f t="shared" si="1"/>
        <v>714.5</v>
      </c>
      <c r="I18" s="347">
        <f>ROUND(D18*14.29%,2)</f>
        <v>714.5</v>
      </c>
      <c r="J18" s="519">
        <f>ROUND(D18*7.59%,2)</f>
        <v>379.5</v>
      </c>
      <c r="K18" s="519">
        <f>ROUND(D18*2.23%,2)</f>
        <v>111.5</v>
      </c>
    </row>
    <row r="19" spans="1:11" ht="11.25" customHeight="1">
      <c r="A19" s="112">
        <v>525120</v>
      </c>
      <c r="B19" s="112">
        <v>55200</v>
      </c>
      <c r="C19" s="122" t="s">
        <v>224</v>
      </c>
      <c r="D19" s="368">
        <v>10500</v>
      </c>
      <c r="E19" s="347">
        <f t="shared" si="0"/>
        <v>7968.45</v>
      </c>
      <c r="F19" s="347">
        <v>0</v>
      </c>
      <c r="G19" s="347">
        <f>ROUND(D19*75.89%,2)</f>
        <v>7968.45</v>
      </c>
      <c r="H19" s="347">
        <f t="shared" si="1"/>
        <v>1500.45</v>
      </c>
      <c r="I19" s="347">
        <f>ROUND(D19*14.29%,2)</f>
        <v>1500.45</v>
      </c>
      <c r="J19" s="519">
        <f>ROUND(D19*7.59%,2)</f>
        <v>796.95</v>
      </c>
      <c r="K19" s="519">
        <f>ROUND(D19*2.23%,2)</f>
        <v>234.15</v>
      </c>
    </row>
    <row r="20" spans="1:11" ht="11.25" customHeight="1">
      <c r="A20" s="112">
        <v>525130</v>
      </c>
      <c r="B20" s="112">
        <v>55300</v>
      </c>
      <c r="C20" s="122" t="s">
        <v>57</v>
      </c>
      <c r="D20" s="368">
        <v>300</v>
      </c>
      <c r="E20" s="347">
        <f t="shared" si="0"/>
        <v>227.67</v>
      </c>
      <c r="F20" s="347">
        <v>0</v>
      </c>
      <c r="G20" s="347">
        <f>ROUND(D20*75.89%,2)</f>
        <v>227.67</v>
      </c>
      <c r="H20" s="347">
        <f t="shared" si="1"/>
        <v>42.87</v>
      </c>
      <c r="I20" s="347">
        <f>ROUND(D20*14.29%,2)</f>
        <v>42.87</v>
      </c>
      <c r="J20" s="519">
        <f>ROUND(D20*7.59%,2)</f>
        <v>22.77</v>
      </c>
      <c r="K20" s="519">
        <f>ROUND(D20*2.23%,2)</f>
        <v>6.69</v>
      </c>
    </row>
    <row r="21" spans="1:11" ht="11.25" customHeight="1">
      <c r="A21" s="112">
        <v>525140</v>
      </c>
      <c r="B21" s="112">
        <v>55400</v>
      </c>
      <c r="C21" s="122" t="s">
        <v>225</v>
      </c>
      <c r="D21" s="368">
        <v>600</v>
      </c>
      <c r="E21" s="347">
        <f t="shared" si="0"/>
        <v>455.34</v>
      </c>
      <c r="F21" s="347">
        <v>0</v>
      </c>
      <c r="G21" s="347">
        <f>ROUND(D21*75.89%,2)</f>
        <v>455.34</v>
      </c>
      <c r="H21" s="347">
        <f t="shared" si="1"/>
        <v>85.74</v>
      </c>
      <c r="I21" s="347">
        <f>ROUND(D21*14.29%,2)</f>
        <v>85.74</v>
      </c>
      <c r="J21" s="519">
        <f>ROUND(D21*7.59%,2)</f>
        <v>45.54</v>
      </c>
      <c r="K21" s="519">
        <f>ROUND(D21*2.23%,2)</f>
        <v>13.38</v>
      </c>
    </row>
    <row r="22" spans="1:11" ht="11.25" customHeight="1">
      <c r="A22" s="112">
        <v>528110</v>
      </c>
      <c r="B22" s="112">
        <v>57000</v>
      </c>
      <c r="C22" s="122" t="s">
        <v>226</v>
      </c>
      <c r="D22" s="368">
        <v>5000</v>
      </c>
      <c r="E22" s="347">
        <f t="shared" si="0"/>
        <v>0</v>
      </c>
      <c r="F22" s="347">
        <v>0</v>
      </c>
      <c r="G22" s="347">
        <v>0</v>
      </c>
      <c r="H22" s="347">
        <f t="shared" si="1"/>
        <v>5000</v>
      </c>
      <c r="I22" s="347">
        <f>ROUND(D22*100%,2)</f>
        <v>5000</v>
      </c>
      <c r="J22" s="519">
        <v>0</v>
      </c>
      <c r="K22" s="520">
        <v>0</v>
      </c>
    </row>
    <row r="23" spans="1:11" ht="11.25" customHeight="1">
      <c r="A23" s="112">
        <v>528112</v>
      </c>
      <c r="B23" s="112"/>
      <c r="C23" s="122" t="s">
        <v>368</v>
      </c>
      <c r="D23" s="368">
        <v>60000</v>
      </c>
      <c r="E23" s="347">
        <f t="shared" si="0"/>
        <v>0</v>
      </c>
      <c r="F23" s="347">
        <v>0</v>
      </c>
      <c r="G23" s="347">
        <v>0</v>
      </c>
      <c r="H23" s="347">
        <f t="shared" si="1"/>
        <v>60000</v>
      </c>
      <c r="I23" s="347">
        <f>ROUND(D23*100%,2)</f>
        <v>60000</v>
      </c>
      <c r="J23" s="519">
        <v>0</v>
      </c>
      <c r="K23" s="520">
        <v>0</v>
      </c>
    </row>
    <row r="24" spans="1:11" ht="11.25" customHeight="1">
      <c r="A24" s="112">
        <v>529140</v>
      </c>
      <c r="B24" s="112">
        <v>57200</v>
      </c>
      <c r="C24" s="122" t="s">
        <v>115</v>
      </c>
      <c r="D24" s="368">
        <v>77200</v>
      </c>
      <c r="E24" s="347">
        <f t="shared" si="0"/>
        <v>39200</v>
      </c>
      <c r="F24" s="347">
        <v>5200</v>
      </c>
      <c r="G24" s="347">
        <v>34000</v>
      </c>
      <c r="H24" s="347">
        <f t="shared" si="1"/>
        <v>38000</v>
      </c>
      <c r="I24" s="347">
        <v>38000</v>
      </c>
      <c r="J24" s="519">
        <v>0</v>
      </c>
      <c r="K24" s="520">
        <v>0</v>
      </c>
    </row>
    <row r="25" spans="1:11" ht="11.25" customHeight="1">
      <c r="A25" s="112">
        <v>529190</v>
      </c>
      <c r="B25" s="112"/>
      <c r="C25" s="122" t="s">
        <v>377</v>
      </c>
      <c r="D25" s="368">
        <v>800</v>
      </c>
      <c r="E25" s="347">
        <f t="shared" si="0"/>
        <v>0</v>
      </c>
      <c r="F25" s="347">
        <v>0</v>
      </c>
      <c r="G25" s="347">
        <v>0</v>
      </c>
      <c r="H25" s="347">
        <f t="shared" si="1"/>
        <v>800</v>
      </c>
      <c r="I25" s="347">
        <v>800</v>
      </c>
      <c r="J25" s="519">
        <v>0</v>
      </c>
      <c r="K25" s="519">
        <v>0</v>
      </c>
    </row>
    <row r="26" spans="1:13" ht="11.25" customHeight="1">
      <c r="A26" s="112">
        <v>524190</v>
      </c>
      <c r="B26" s="112">
        <v>58900</v>
      </c>
      <c r="C26" s="122" t="s">
        <v>456</v>
      </c>
      <c r="D26" s="368">
        <v>16000</v>
      </c>
      <c r="E26" s="347">
        <f t="shared" si="0"/>
        <v>12142.4</v>
      </c>
      <c r="F26" s="347">
        <v>0</v>
      </c>
      <c r="G26" s="347">
        <f>ROUND(D26*75.89%,2)</f>
        <v>12142.4</v>
      </c>
      <c r="H26" s="347">
        <f t="shared" si="1"/>
        <v>2286.4</v>
      </c>
      <c r="I26" s="347">
        <f>ROUND(D26*14.29%,2)</f>
        <v>2286.4</v>
      </c>
      <c r="J26" s="519">
        <f>ROUND(D26*7.59%,2)</f>
        <v>1214.4</v>
      </c>
      <c r="K26" s="519">
        <f>ROUND(D26*2.23%,2)</f>
        <v>356.8</v>
      </c>
      <c r="M26" s="123"/>
    </row>
    <row r="27" spans="1:13" ht="11.25" customHeight="1">
      <c r="A27" s="112">
        <v>581110</v>
      </c>
      <c r="B27" s="112">
        <v>67900</v>
      </c>
      <c r="C27" s="122" t="s">
        <v>351</v>
      </c>
      <c r="D27" s="368">
        <v>242935.97</v>
      </c>
      <c r="E27" s="347">
        <f>SUM(F27+G27)</f>
        <v>115452.67</v>
      </c>
      <c r="F27" s="347">
        <v>15424.8</v>
      </c>
      <c r="G27" s="347">
        <v>100027.87</v>
      </c>
      <c r="H27" s="347">
        <v>123051.66</v>
      </c>
      <c r="I27" s="347">
        <v>123051.66</v>
      </c>
      <c r="J27" s="347">
        <v>3090.04</v>
      </c>
      <c r="K27" s="347">
        <v>1341.6</v>
      </c>
      <c r="M27" s="123"/>
    </row>
    <row r="28" spans="1:11" ht="11.25" customHeight="1">
      <c r="A28" s="270">
        <v>359998</v>
      </c>
      <c r="B28" s="270">
        <v>68000</v>
      </c>
      <c r="C28" s="122" t="s">
        <v>349</v>
      </c>
      <c r="D28" s="368">
        <v>3869.99</v>
      </c>
      <c r="E28" s="347">
        <f>SUM(F28:G28)</f>
        <v>0</v>
      </c>
      <c r="F28" s="347">
        <v>0</v>
      </c>
      <c r="G28" s="347">
        <v>0</v>
      </c>
      <c r="H28" s="347">
        <f>SUM(I28:I28)</f>
        <v>3869.99</v>
      </c>
      <c r="I28" s="347">
        <v>3869.99</v>
      </c>
      <c r="J28" s="623">
        <v>0</v>
      </c>
      <c r="K28" s="347">
        <v>0</v>
      </c>
    </row>
    <row r="29" spans="1:11" ht="12" customHeight="1">
      <c r="A29" s="270">
        <v>359998</v>
      </c>
      <c r="B29" s="270">
        <v>68500</v>
      </c>
      <c r="C29" s="122" t="s">
        <v>350</v>
      </c>
      <c r="D29" s="368">
        <v>1322.84</v>
      </c>
      <c r="E29" s="347">
        <f>SUM(F29:G29)</f>
        <v>0</v>
      </c>
      <c r="F29" s="347">
        <v>0</v>
      </c>
      <c r="G29" s="347">
        <v>0</v>
      </c>
      <c r="H29" s="347">
        <f>SUM(I29:I29)</f>
        <v>1322.84</v>
      </c>
      <c r="I29" s="347">
        <v>1322.84</v>
      </c>
      <c r="J29" s="623">
        <v>0</v>
      </c>
      <c r="K29" s="347">
        <v>0</v>
      </c>
    </row>
    <row r="30" spans="1:11" ht="12" customHeight="1">
      <c r="A30" s="369"/>
      <c r="B30" s="369"/>
      <c r="C30" s="629" t="s">
        <v>521</v>
      </c>
      <c r="D30" s="368">
        <v>35585.64</v>
      </c>
      <c r="E30" s="624"/>
      <c r="F30" s="624"/>
      <c r="G30" s="624"/>
      <c r="H30" s="624">
        <v>35585.64</v>
      </c>
      <c r="I30" s="347">
        <v>35585.64</v>
      </c>
      <c r="J30" s="625"/>
      <c r="K30" s="347"/>
    </row>
    <row r="31" spans="1:12" ht="9">
      <c r="A31" s="112"/>
      <c r="B31" s="112"/>
      <c r="C31" s="122" t="s">
        <v>131</v>
      </c>
      <c r="D31" s="368">
        <f>SUM(D11:D30)</f>
        <v>526114.44</v>
      </c>
      <c r="E31" s="368">
        <f>SUM(E11:E29)</f>
        <v>211175.83</v>
      </c>
      <c r="F31" s="368">
        <f>SUM(F11:F29)</f>
        <v>20671.46</v>
      </c>
      <c r="G31" s="368">
        <f>SUM(G11:G29)</f>
        <v>190504.37</v>
      </c>
      <c r="H31" s="368">
        <f>SUM(H11:H30)</f>
        <v>304182.89</v>
      </c>
      <c r="I31" s="368">
        <f>SUM(I11:I30)</f>
        <v>304182.89</v>
      </c>
      <c r="J31" s="368">
        <f>SUM(J16:J27)+SUM(J28:J29)</f>
        <v>7978</v>
      </c>
      <c r="K31" s="368">
        <f>SUM(K16:K27)+SUM(K28:K29)</f>
        <v>2777.7200000000003</v>
      </c>
      <c r="L31" s="48"/>
    </row>
    <row r="32" spans="1:11" ht="8.25">
      <c r="A32" s="124"/>
      <c r="B32" s="124"/>
      <c r="C32" s="637" t="s">
        <v>523</v>
      </c>
      <c r="D32" s="639"/>
      <c r="E32" s="550"/>
      <c r="F32" s="125"/>
      <c r="G32" s="125"/>
      <c r="H32" s="125"/>
      <c r="I32" s="125"/>
      <c r="J32" s="125"/>
      <c r="K32" s="125"/>
    </row>
    <row r="33" spans="1:11" ht="9">
      <c r="A33" s="208" t="s">
        <v>227</v>
      </c>
      <c r="B33" s="208"/>
      <c r="D33" s="125"/>
      <c r="E33" s="125"/>
      <c r="F33" s="125"/>
      <c r="G33" s="125"/>
      <c r="H33" s="125"/>
      <c r="I33" s="125"/>
      <c r="J33" s="125"/>
      <c r="K33" s="125"/>
    </row>
    <row r="34" spans="1:11" ht="8.25">
      <c r="A34" s="126" t="s">
        <v>190</v>
      </c>
      <c r="B34" s="126"/>
      <c r="D34" s="125"/>
      <c r="E34" s="125"/>
      <c r="F34" s="125"/>
      <c r="G34" s="125"/>
      <c r="H34" s="125"/>
      <c r="I34" s="125"/>
      <c r="J34" s="125"/>
      <c r="K34" s="125"/>
    </row>
    <row r="35" spans="1:11" ht="9">
      <c r="A35" s="99" t="s">
        <v>313</v>
      </c>
      <c r="B35" s="99" t="s">
        <v>195</v>
      </c>
      <c r="C35" s="99" t="s">
        <v>196</v>
      </c>
      <c r="D35" s="100" t="s">
        <v>412</v>
      </c>
      <c r="E35" s="100" t="s">
        <v>228</v>
      </c>
      <c r="F35" s="204"/>
      <c r="G35" s="205"/>
      <c r="H35" s="100" t="s">
        <v>229</v>
      </c>
      <c r="I35" s="205"/>
      <c r="J35" s="101" t="s">
        <v>199</v>
      </c>
      <c r="K35" s="99" t="s">
        <v>200</v>
      </c>
    </row>
    <row r="36" spans="1:11" ht="9">
      <c r="A36" s="102"/>
      <c r="B36" s="102"/>
      <c r="C36" s="103"/>
      <c r="D36" s="104" t="s">
        <v>415</v>
      </c>
      <c r="E36" s="105" t="s">
        <v>230</v>
      </c>
      <c r="F36" s="641" t="s">
        <v>231</v>
      </c>
      <c r="G36" s="642"/>
      <c r="H36" s="105" t="s">
        <v>232</v>
      </c>
      <c r="I36" s="111"/>
      <c r="J36" s="106" t="s">
        <v>201</v>
      </c>
      <c r="K36" s="102" t="s">
        <v>202</v>
      </c>
    </row>
    <row r="37" spans="1:11" ht="9">
      <c r="A37" s="103"/>
      <c r="B37" s="103"/>
      <c r="C37" s="103"/>
      <c r="D37" s="104"/>
      <c r="E37" s="103"/>
      <c r="F37" s="107" t="s">
        <v>190</v>
      </c>
      <c r="G37" s="107"/>
      <c r="H37" s="103"/>
      <c r="I37" s="107"/>
      <c r="J37" s="106" t="s">
        <v>203</v>
      </c>
      <c r="K37" s="103"/>
    </row>
    <row r="38" spans="1:11" ht="9">
      <c r="A38" s="108"/>
      <c r="B38" s="108"/>
      <c r="C38" s="109"/>
      <c r="D38" s="110" t="s">
        <v>204</v>
      </c>
      <c r="E38" s="108" t="s">
        <v>205</v>
      </c>
      <c r="F38" s="108" t="s">
        <v>132</v>
      </c>
      <c r="G38" s="108" t="s">
        <v>133</v>
      </c>
      <c r="H38" s="108" t="s">
        <v>294</v>
      </c>
      <c r="I38" s="108" t="s">
        <v>134</v>
      </c>
      <c r="J38" s="111" t="s">
        <v>206</v>
      </c>
      <c r="K38" s="108" t="s">
        <v>207</v>
      </c>
    </row>
    <row r="39" spans="1:11" s="13" customFormat="1" ht="9">
      <c r="A39" s="112" t="s">
        <v>208</v>
      </c>
      <c r="B39" s="112"/>
      <c r="C39" s="112" t="s">
        <v>209</v>
      </c>
      <c r="D39" s="113" t="s">
        <v>233</v>
      </c>
      <c r="E39" s="114" t="s">
        <v>234</v>
      </c>
      <c r="F39" s="114" t="s">
        <v>235</v>
      </c>
      <c r="G39" s="114" t="s">
        <v>236</v>
      </c>
      <c r="H39" s="114" t="s">
        <v>237</v>
      </c>
      <c r="I39" s="114" t="s">
        <v>348</v>
      </c>
      <c r="J39" s="115" t="s">
        <v>215</v>
      </c>
      <c r="K39" s="114" t="s">
        <v>216</v>
      </c>
    </row>
    <row r="40" spans="1:12" s="51" customFormat="1" ht="11.25" customHeight="1">
      <c r="A40" s="116"/>
      <c r="B40" s="116"/>
      <c r="C40" s="116" t="s">
        <v>238</v>
      </c>
      <c r="D40" s="117"/>
      <c r="E40" s="118"/>
      <c r="F40" s="118" t="s">
        <v>217</v>
      </c>
      <c r="G40" s="118" t="s">
        <v>218</v>
      </c>
      <c r="H40" s="118"/>
      <c r="I40" s="118" t="s">
        <v>219</v>
      </c>
      <c r="J40" s="119" t="s">
        <v>220</v>
      </c>
      <c r="K40" s="120" t="s">
        <v>221</v>
      </c>
      <c r="L40" s="121"/>
    </row>
    <row r="41" spans="1:11" ht="11.25" customHeight="1">
      <c r="A41" s="112">
        <v>432120</v>
      </c>
      <c r="B41" s="112">
        <v>11200</v>
      </c>
      <c r="C41" s="122" t="s">
        <v>239</v>
      </c>
      <c r="D41" s="368">
        <f>SUM(E41+I41+J41+K41)</f>
        <v>327904.63</v>
      </c>
      <c r="E41" s="370">
        <f>F41+G41</f>
        <v>137095.33000000002</v>
      </c>
      <c r="F41" s="347">
        <v>14085.45</v>
      </c>
      <c r="G41" s="347">
        <v>123009.88</v>
      </c>
      <c r="H41" s="370">
        <v>190809.3</v>
      </c>
      <c r="I41" s="347">
        <v>190809.3</v>
      </c>
      <c r="J41" s="623">
        <v>0</v>
      </c>
      <c r="K41" s="347">
        <v>0</v>
      </c>
    </row>
    <row r="42" spans="1:12" ht="11.25" customHeight="1">
      <c r="A42" s="112"/>
      <c r="B42" s="112"/>
      <c r="C42" s="122" t="s">
        <v>240</v>
      </c>
      <c r="D42" s="206"/>
      <c r="E42" s="370"/>
      <c r="F42" s="370"/>
      <c r="G42" s="370"/>
      <c r="H42" s="370"/>
      <c r="I42" s="370"/>
      <c r="J42" s="626"/>
      <c r="K42" s="370"/>
      <c r="L42" s="48"/>
    </row>
    <row r="43" spans="1:11" ht="11.25" customHeight="1">
      <c r="A43" s="112">
        <v>481110</v>
      </c>
      <c r="B43" s="112">
        <v>16900</v>
      </c>
      <c r="C43" s="122" t="s">
        <v>5</v>
      </c>
      <c r="D43" s="206"/>
      <c r="E43" s="370"/>
      <c r="F43" s="370"/>
      <c r="G43" s="370"/>
      <c r="H43" s="370"/>
      <c r="I43" s="370"/>
      <c r="J43" s="626"/>
      <c r="K43" s="370"/>
    </row>
    <row r="44" spans="1:11" ht="11.25" customHeight="1">
      <c r="A44" s="112"/>
      <c r="B44" s="112"/>
      <c r="C44" s="122" t="s">
        <v>241</v>
      </c>
      <c r="D44" s="368">
        <f>SUM(E44+I44+J44+K44)</f>
        <v>128839.68</v>
      </c>
      <c r="E44" s="370">
        <f>F44+G44</f>
        <v>52793.96</v>
      </c>
      <c r="F44" s="370">
        <v>5167.87</v>
      </c>
      <c r="G44" s="370">
        <v>47626.09</v>
      </c>
      <c r="H44" s="370">
        <v>76045.72</v>
      </c>
      <c r="I44" s="370">
        <v>76045.72</v>
      </c>
      <c r="J44" s="626">
        <v>0</v>
      </c>
      <c r="K44" s="370">
        <v>0</v>
      </c>
    </row>
    <row r="45" spans="1:11" ht="11.25" customHeight="1">
      <c r="A45" s="112"/>
      <c r="B45" s="112"/>
      <c r="C45" s="122" t="s">
        <v>242</v>
      </c>
      <c r="D45" s="206"/>
      <c r="E45" s="370"/>
      <c r="F45" s="370"/>
      <c r="G45" s="370"/>
      <c r="H45" s="370"/>
      <c r="I45" s="370"/>
      <c r="J45" s="626"/>
      <c r="K45" s="370"/>
    </row>
    <row r="46" spans="1:11" ht="11.25" customHeight="1">
      <c r="A46" s="112"/>
      <c r="B46" s="112"/>
      <c r="C46" s="122" t="s">
        <v>243</v>
      </c>
      <c r="D46" s="368">
        <f>SUM(E46+I46+J46+K46)</f>
        <v>635.01</v>
      </c>
      <c r="E46" s="370">
        <f>F46+G46</f>
        <v>-139</v>
      </c>
      <c r="F46" s="370">
        <v>-2.87</v>
      </c>
      <c r="G46" s="370">
        <v>-136.13</v>
      </c>
      <c r="H46" s="370">
        <v>774.01</v>
      </c>
      <c r="I46" s="370">
        <v>774.01</v>
      </c>
      <c r="J46" s="626">
        <v>0</v>
      </c>
      <c r="K46" s="370">
        <v>0</v>
      </c>
    </row>
    <row r="47" spans="1:11" ht="11.25" customHeight="1">
      <c r="A47" s="112"/>
      <c r="B47" s="112"/>
      <c r="C47" s="122" t="s">
        <v>244</v>
      </c>
      <c r="D47" s="368">
        <f>SUM(E47+I47+J47+K47)</f>
        <v>65957.4</v>
      </c>
      <c r="E47" s="370">
        <f>F47+G47</f>
        <v>21425.539999999997</v>
      </c>
      <c r="F47" s="370">
        <v>1421.01</v>
      </c>
      <c r="G47" s="370">
        <v>20004.53</v>
      </c>
      <c r="H47" s="370">
        <v>36553.86</v>
      </c>
      <c r="I47" s="370">
        <v>36553.86</v>
      </c>
      <c r="J47" s="626">
        <v>7978</v>
      </c>
      <c r="K47" s="370">
        <v>0</v>
      </c>
    </row>
    <row r="48" spans="1:13" ht="11.25" customHeight="1">
      <c r="A48" s="112"/>
      <c r="B48" s="112"/>
      <c r="C48" s="122" t="s">
        <v>245</v>
      </c>
      <c r="D48" s="206"/>
      <c r="E48" s="370"/>
      <c r="F48" s="370"/>
      <c r="G48" s="370"/>
      <c r="H48" s="370"/>
      <c r="I48" s="370"/>
      <c r="J48" s="626"/>
      <c r="K48" s="370"/>
      <c r="M48" s="123"/>
    </row>
    <row r="49" spans="1:13" ht="11.25" customHeight="1">
      <c r="A49" s="112"/>
      <c r="B49" s="112"/>
      <c r="C49" s="122" t="s">
        <v>246</v>
      </c>
      <c r="D49" s="368">
        <f>SUM(E49+I49+J49+K49)</f>
        <v>2777.72</v>
      </c>
      <c r="E49" s="370"/>
      <c r="F49" s="370"/>
      <c r="G49" s="370"/>
      <c r="H49" s="370"/>
      <c r="I49" s="370"/>
      <c r="J49" s="626"/>
      <c r="K49" s="370">
        <v>2777.72</v>
      </c>
      <c r="M49" s="123"/>
    </row>
    <row r="50" spans="1:11" ht="9">
      <c r="A50" s="270">
        <v>359998</v>
      </c>
      <c r="B50" s="270">
        <v>28006</v>
      </c>
      <c r="C50" s="207" t="s">
        <v>247</v>
      </c>
      <c r="D50" s="368">
        <f>SUM(E50+I50+J50+K50)</f>
        <v>0</v>
      </c>
      <c r="E50" s="371">
        <v>0</v>
      </c>
      <c r="F50" s="627">
        <v>0</v>
      </c>
      <c r="G50" s="627">
        <v>0</v>
      </c>
      <c r="H50" s="370"/>
      <c r="I50" s="627">
        <v>0</v>
      </c>
      <c r="J50" s="628">
        <v>0</v>
      </c>
      <c r="K50" s="371">
        <v>0</v>
      </c>
    </row>
    <row r="51" spans="1:11" ht="9">
      <c r="A51" s="112"/>
      <c r="B51" s="112"/>
      <c r="C51" s="122" t="s">
        <v>131</v>
      </c>
      <c r="D51" s="368">
        <f aca="true" t="shared" si="2" ref="D51:K51">SUM(D41:D50)</f>
        <v>526114.44</v>
      </c>
      <c r="E51" s="371">
        <f t="shared" si="2"/>
        <v>211175.83000000002</v>
      </c>
      <c r="F51" s="371">
        <f t="shared" si="2"/>
        <v>20671.46</v>
      </c>
      <c r="G51" s="627">
        <f t="shared" si="2"/>
        <v>190504.37</v>
      </c>
      <c r="H51" s="371">
        <f t="shared" si="2"/>
        <v>304182.89</v>
      </c>
      <c r="I51" s="627">
        <f t="shared" si="2"/>
        <v>304182.89</v>
      </c>
      <c r="J51" s="628">
        <f t="shared" si="2"/>
        <v>7978</v>
      </c>
      <c r="K51" s="371">
        <f t="shared" si="2"/>
        <v>2777.72</v>
      </c>
    </row>
    <row r="52" spans="4:12" ht="9">
      <c r="D52" s="268">
        <f>D51-D31</f>
        <v>0</v>
      </c>
      <c r="E52" s="208" t="s">
        <v>273</v>
      </c>
      <c r="F52" s="262"/>
      <c r="L52" s="48"/>
    </row>
    <row r="53" ht="8.25">
      <c r="D53" s="98"/>
    </row>
    <row r="54" spans="1:3" ht="9">
      <c r="A54" s="209" t="s">
        <v>248</v>
      </c>
      <c r="B54" s="209"/>
      <c r="C54" s="210" t="s">
        <v>249</v>
      </c>
    </row>
    <row r="55" spans="1:3" ht="9">
      <c r="A55" s="209"/>
      <c r="B55" s="209"/>
      <c r="C55" s="209" t="s">
        <v>514</v>
      </c>
    </row>
  </sheetData>
  <sheetProtection/>
  <mergeCells count="4">
    <mergeCell ref="F36:G36"/>
    <mergeCell ref="E5:G5"/>
    <mergeCell ref="H5:I5"/>
    <mergeCell ref="F6:G6"/>
  </mergeCells>
  <printOptions/>
  <pageMargins left="0.3937007874015748" right="0.3937007874015748" top="0.3937007874015748" bottom="0.1968503937007874" header="0.7086614173228347" footer="0.5118110236220472"/>
  <pageSetup horizontalDpi="300" verticalDpi="300" orientation="landscape" paperSize="9" r:id="rId1"/>
  <headerFooter alignWithMargins="0">
    <oddFooter>&amp;R&amp;8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55"/>
  <sheetViews>
    <sheetView tabSelected="1" zoomScalePageLayoutView="0" workbookViewId="0" topLeftCell="A1">
      <pane xSplit="3" topLeftCell="D1" activePane="topRight" state="frozen"/>
      <selection pane="topLeft" activeCell="G407" sqref="G407"/>
      <selection pane="topRight" activeCell="A33" sqref="A33:K53"/>
    </sheetView>
  </sheetViews>
  <sheetFormatPr defaultColWidth="11.00390625" defaultRowHeight="12.75"/>
  <cols>
    <col min="1" max="1" width="6.8515625" style="48" customWidth="1"/>
    <col min="2" max="2" width="7.8515625" style="48" customWidth="1"/>
    <col min="3" max="3" width="26.8515625" style="48" customWidth="1"/>
    <col min="4" max="10" width="10.7109375" style="48" customWidth="1"/>
    <col min="11" max="11" width="10.7109375" style="98" customWidth="1"/>
    <col min="12" max="12" width="12.421875" style="98" customWidth="1"/>
    <col min="13" max="13" width="13.8515625" style="48" customWidth="1"/>
    <col min="14" max="16384" width="11.00390625" style="48" customWidth="1"/>
  </cols>
  <sheetData>
    <row r="1" spans="1:8" ht="15" customHeight="1">
      <c r="A1" s="42" t="s">
        <v>450</v>
      </c>
      <c r="B1" s="42"/>
      <c r="H1" s="42" t="s">
        <v>312</v>
      </c>
    </row>
    <row r="2" ht="8.25"/>
    <row r="3" spans="1:2" ht="8.25">
      <c r="A3" s="51" t="s">
        <v>194</v>
      </c>
      <c r="B3" s="51"/>
    </row>
    <row r="4" ht="8.25"/>
    <row r="5" spans="1:11" ht="9.75">
      <c r="A5" s="99" t="s">
        <v>313</v>
      </c>
      <c r="B5" s="99" t="s">
        <v>195</v>
      </c>
      <c r="C5" s="99" t="s">
        <v>196</v>
      </c>
      <c r="D5" s="100" t="s">
        <v>412</v>
      </c>
      <c r="E5" s="643" t="s">
        <v>197</v>
      </c>
      <c r="F5" s="644"/>
      <c r="G5" s="645"/>
      <c r="H5" s="643" t="s">
        <v>198</v>
      </c>
      <c r="I5" s="645"/>
      <c r="J5" s="101" t="s">
        <v>199</v>
      </c>
      <c r="K5" s="99" t="s">
        <v>200</v>
      </c>
    </row>
    <row r="6" spans="1:11" ht="9.75">
      <c r="A6" s="102"/>
      <c r="B6" s="102"/>
      <c r="C6" s="103"/>
      <c r="D6" s="104" t="s">
        <v>415</v>
      </c>
      <c r="E6" s="105"/>
      <c r="F6" s="641"/>
      <c r="G6" s="642"/>
      <c r="H6" s="105"/>
      <c r="I6" s="111"/>
      <c r="J6" s="106" t="s">
        <v>201</v>
      </c>
      <c r="K6" s="102" t="s">
        <v>202</v>
      </c>
    </row>
    <row r="7" spans="1:11" ht="9.75">
      <c r="A7" s="103"/>
      <c r="B7" s="103"/>
      <c r="C7" s="103"/>
      <c r="D7" s="104"/>
      <c r="E7" s="103"/>
      <c r="F7" s="107" t="s">
        <v>190</v>
      </c>
      <c r="G7" s="107"/>
      <c r="H7" s="103"/>
      <c r="I7" s="107"/>
      <c r="J7" s="106" t="s">
        <v>203</v>
      </c>
      <c r="K7" s="103"/>
    </row>
    <row r="8" spans="1:11" ht="9.75">
      <c r="A8" s="108"/>
      <c r="B8" s="108"/>
      <c r="C8" s="109"/>
      <c r="D8" s="110" t="s">
        <v>204</v>
      </c>
      <c r="E8" s="108" t="s">
        <v>205</v>
      </c>
      <c r="F8" s="108" t="s">
        <v>132</v>
      </c>
      <c r="G8" s="108" t="s">
        <v>133</v>
      </c>
      <c r="H8" s="108" t="s">
        <v>294</v>
      </c>
      <c r="I8" s="108" t="s">
        <v>134</v>
      </c>
      <c r="J8" s="111" t="s">
        <v>206</v>
      </c>
      <c r="K8" s="108" t="s">
        <v>207</v>
      </c>
    </row>
    <row r="9" spans="1:11" s="13" customFormat="1" ht="9.75">
      <c r="A9" s="112" t="s">
        <v>208</v>
      </c>
      <c r="B9" s="112"/>
      <c r="C9" s="112" t="s">
        <v>209</v>
      </c>
      <c r="D9" s="113" t="s">
        <v>210</v>
      </c>
      <c r="E9" s="114" t="s">
        <v>211</v>
      </c>
      <c r="F9" s="114" t="s">
        <v>212</v>
      </c>
      <c r="G9" s="114" t="s">
        <v>213</v>
      </c>
      <c r="H9" s="114" t="s">
        <v>214</v>
      </c>
      <c r="I9" s="114" t="s">
        <v>347</v>
      </c>
      <c r="J9" s="115" t="s">
        <v>215</v>
      </c>
      <c r="K9" s="114" t="s">
        <v>216</v>
      </c>
    </row>
    <row r="10" spans="1:12" s="51" customFormat="1" ht="12" customHeight="1">
      <c r="A10" s="116"/>
      <c r="B10" s="116"/>
      <c r="C10" s="116"/>
      <c r="D10" s="117"/>
      <c r="E10" s="118"/>
      <c r="F10" s="118" t="s">
        <v>217</v>
      </c>
      <c r="G10" s="118" t="s">
        <v>218</v>
      </c>
      <c r="H10" s="118"/>
      <c r="I10" s="118" t="s">
        <v>219</v>
      </c>
      <c r="J10" s="119" t="s">
        <v>220</v>
      </c>
      <c r="K10" s="120" t="s">
        <v>221</v>
      </c>
      <c r="L10" s="121"/>
    </row>
    <row r="11" spans="1:12" s="51" customFormat="1" ht="11.25" customHeight="1">
      <c r="A11" s="112">
        <v>541120</v>
      </c>
      <c r="B11" s="112">
        <v>46100</v>
      </c>
      <c r="C11" s="122" t="s">
        <v>268</v>
      </c>
      <c r="D11" s="368">
        <v>4400</v>
      </c>
      <c r="E11" s="347">
        <f>SUM(F11:G11)</f>
        <v>0</v>
      </c>
      <c r="F11" s="347">
        <v>0</v>
      </c>
      <c r="G11" s="347">
        <v>0</v>
      </c>
      <c r="H11" s="347">
        <f aca="true" t="shared" si="0" ref="H11:H16">SUM(I11:I11)</f>
        <v>4400</v>
      </c>
      <c r="I11" s="347">
        <v>4400</v>
      </c>
      <c r="J11" s="519">
        <v>0</v>
      </c>
      <c r="K11" s="520">
        <v>0</v>
      </c>
      <c r="L11" s="121"/>
    </row>
    <row r="12" spans="1:12" s="51" customFormat="1" ht="11.25" customHeight="1">
      <c r="A12" s="112"/>
      <c r="B12" s="112"/>
      <c r="C12" s="122" t="s">
        <v>363</v>
      </c>
      <c r="D12" s="368">
        <v>6450</v>
      </c>
      <c r="E12" s="347">
        <f aca="true" t="shared" si="1" ref="E12:E26">SUM(F12:G12)</f>
        <v>5805</v>
      </c>
      <c r="F12" s="347">
        <v>35.41</v>
      </c>
      <c r="G12" s="347">
        <v>5769.59</v>
      </c>
      <c r="H12" s="347">
        <v>645</v>
      </c>
      <c r="I12" s="347">
        <v>645</v>
      </c>
      <c r="J12" s="519">
        <v>0</v>
      </c>
      <c r="K12" s="519">
        <v>0</v>
      </c>
      <c r="L12" s="121"/>
    </row>
    <row r="13" spans="1:12" s="51" customFormat="1" ht="11.25" customHeight="1">
      <c r="A13" s="112">
        <v>522230</v>
      </c>
      <c r="B13" s="112"/>
      <c r="C13" s="122" t="s">
        <v>371</v>
      </c>
      <c r="D13" s="368">
        <v>2000</v>
      </c>
      <c r="E13" s="347">
        <f t="shared" si="1"/>
        <v>1800</v>
      </c>
      <c r="F13" s="347">
        <v>10.98</v>
      </c>
      <c r="G13" s="347">
        <v>1789.02</v>
      </c>
      <c r="H13" s="347">
        <f t="shared" si="0"/>
        <v>200</v>
      </c>
      <c r="I13" s="347">
        <v>200</v>
      </c>
      <c r="J13" s="519">
        <v>0</v>
      </c>
      <c r="K13" s="519">
        <v>0</v>
      </c>
      <c r="L13" s="121"/>
    </row>
    <row r="14" spans="1:12" s="51" customFormat="1" ht="12" customHeight="1">
      <c r="A14" s="112">
        <v>523120</v>
      </c>
      <c r="B14" s="112"/>
      <c r="C14" s="122" t="s">
        <v>375</v>
      </c>
      <c r="D14" s="368">
        <v>500</v>
      </c>
      <c r="E14" s="347">
        <f t="shared" si="1"/>
        <v>0</v>
      </c>
      <c r="F14" s="347">
        <v>0</v>
      </c>
      <c r="G14" s="347">
        <v>0</v>
      </c>
      <c r="H14" s="347">
        <f t="shared" si="0"/>
        <v>500</v>
      </c>
      <c r="I14" s="347">
        <v>500</v>
      </c>
      <c r="J14" s="519">
        <v>0</v>
      </c>
      <c r="K14" s="519">
        <v>0</v>
      </c>
      <c r="L14" s="121"/>
    </row>
    <row r="15" spans="1:12" s="51" customFormat="1" ht="11.25" customHeight="1">
      <c r="A15" s="112">
        <v>523200</v>
      </c>
      <c r="B15" s="112"/>
      <c r="C15" s="122" t="s">
        <v>404</v>
      </c>
      <c r="D15" s="368">
        <v>11600</v>
      </c>
      <c r="E15" s="347">
        <f t="shared" si="1"/>
        <v>0</v>
      </c>
      <c r="F15" s="347">
        <v>0</v>
      </c>
      <c r="G15" s="347">
        <v>0</v>
      </c>
      <c r="H15" s="347">
        <v>11600</v>
      </c>
      <c r="I15" s="347">
        <v>11600</v>
      </c>
      <c r="J15" s="519">
        <v>0</v>
      </c>
      <c r="K15" s="519">
        <v>0</v>
      </c>
      <c r="L15" s="121"/>
    </row>
    <row r="16" spans="1:11" ht="11.25" customHeight="1">
      <c r="A16" s="112">
        <v>523211</v>
      </c>
      <c r="B16" s="112">
        <v>53300</v>
      </c>
      <c r="C16" s="122" t="s">
        <v>222</v>
      </c>
      <c r="D16" s="368">
        <v>32000</v>
      </c>
      <c r="E16" s="347">
        <f t="shared" si="1"/>
        <v>24284.8</v>
      </c>
      <c r="F16" s="347">
        <v>0</v>
      </c>
      <c r="G16" s="347">
        <f>ROUND(D16*75.89%,2)</f>
        <v>24284.8</v>
      </c>
      <c r="H16" s="347">
        <f t="shared" si="0"/>
        <v>4572.8</v>
      </c>
      <c r="I16" s="347">
        <f>ROUND(D16*14.29%,2)</f>
        <v>4572.8</v>
      </c>
      <c r="J16" s="519">
        <f>ROUND(D16*7.59%,2)</f>
        <v>2428.8</v>
      </c>
      <c r="K16" s="519">
        <f>ROUND(D16*2.23%,2)</f>
        <v>713.6</v>
      </c>
    </row>
    <row r="17" spans="1:13" ht="11.25" customHeight="1">
      <c r="A17" s="112">
        <v>525110</v>
      </c>
      <c r="B17" s="112">
        <v>55100</v>
      </c>
      <c r="C17" s="122" t="s">
        <v>223</v>
      </c>
      <c r="D17" s="368">
        <v>10000</v>
      </c>
      <c r="E17" s="347">
        <f t="shared" si="1"/>
        <v>0</v>
      </c>
      <c r="F17" s="347">
        <v>0</v>
      </c>
      <c r="G17" s="347">
        <v>0</v>
      </c>
      <c r="H17" s="347">
        <f aca="true" t="shared" si="2" ref="H17:H24">SUM(I17:I17)</f>
        <v>10000</v>
      </c>
      <c r="I17" s="347">
        <f>ROUND(D17*100%,2)</f>
        <v>10000</v>
      </c>
      <c r="J17" s="519">
        <v>0</v>
      </c>
      <c r="K17" s="520">
        <v>0</v>
      </c>
      <c r="L17" s="48"/>
      <c r="M17" s="211"/>
    </row>
    <row r="18" spans="1:11" ht="11.25" customHeight="1">
      <c r="A18" s="112">
        <v>525111</v>
      </c>
      <c r="B18" s="112">
        <v>55101</v>
      </c>
      <c r="C18" s="122" t="s">
        <v>55</v>
      </c>
      <c r="D18" s="368">
        <v>5000</v>
      </c>
      <c r="E18" s="347">
        <f t="shared" si="1"/>
        <v>3794.5</v>
      </c>
      <c r="F18" s="347">
        <v>0</v>
      </c>
      <c r="G18" s="347">
        <f>ROUND(D18*75.89%,2)</f>
        <v>3794.5</v>
      </c>
      <c r="H18" s="347">
        <f t="shared" si="2"/>
        <v>714.5</v>
      </c>
      <c r="I18" s="347">
        <f>ROUND(D18*14.29%,2)</f>
        <v>714.5</v>
      </c>
      <c r="J18" s="519">
        <f>ROUND(D18*7.59%,2)</f>
        <v>379.5</v>
      </c>
      <c r="K18" s="519">
        <f>ROUND(D18*2.23%,2)</f>
        <v>111.5</v>
      </c>
    </row>
    <row r="19" spans="1:11" ht="11.25" customHeight="1">
      <c r="A19" s="112">
        <v>525120</v>
      </c>
      <c r="B19" s="112">
        <v>55200</v>
      </c>
      <c r="C19" s="122" t="s">
        <v>224</v>
      </c>
      <c r="D19" s="368">
        <v>10500</v>
      </c>
      <c r="E19" s="347">
        <f t="shared" si="1"/>
        <v>7968.45</v>
      </c>
      <c r="F19" s="347">
        <v>0</v>
      </c>
      <c r="G19" s="347">
        <f>ROUND(D19*75.89%,2)</f>
        <v>7968.45</v>
      </c>
      <c r="H19" s="347">
        <f t="shared" si="2"/>
        <v>1500.45</v>
      </c>
      <c r="I19" s="347">
        <f>ROUND(D19*14.29%,2)</f>
        <v>1500.45</v>
      </c>
      <c r="J19" s="519">
        <f>ROUND(D19*7.59%,2)</f>
        <v>796.95</v>
      </c>
      <c r="K19" s="519">
        <f>ROUND(D19*2.23%,2)</f>
        <v>234.15</v>
      </c>
    </row>
    <row r="20" spans="1:11" ht="11.25" customHeight="1">
      <c r="A20" s="112">
        <v>525130</v>
      </c>
      <c r="B20" s="112">
        <v>55300</v>
      </c>
      <c r="C20" s="122" t="s">
        <v>57</v>
      </c>
      <c r="D20" s="368">
        <v>300</v>
      </c>
      <c r="E20" s="347">
        <f t="shared" si="1"/>
        <v>227.67</v>
      </c>
      <c r="F20" s="347">
        <v>0</v>
      </c>
      <c r="G20" s="347">
        <f>ROUND(D20*75.89%,2)</f>
        <v>227.67</v>
      </c>
      <c r="H20" s="347">
        <f t="shared" si="2"/>
        <v>42.87</v>
      </c>
      <c r="I20" s="347">
        <f>ROUND(D20*14.29%,2)</f>
        <v>42.87</v>
      </c>
      <c r="J20" s="519">
        <f>ROUND(D20*7.59%,2)</f>
        <v>22.77</v>
      </c>
      <c r="K20" s="519">
        <f>ROUND(D20*2.23%,2)</f>
        <v>6.69</v>
      </c>
    </row>
    <row r="21" spans="1:11" ht="11.25" customHeight="1">
      <c r="A21" s="112">
        <v>525140</v>
      </c>
      <c r="B21" s="112">
        <v>55400</v>
      </c>
      <c r="C21" s="122" t="s">
        <v>225</v>
      </c>
      <c r="D21" s="368">
        <v>600</v>
      </c>
      <c r="E21" s="347">
        <f t="shared" si="1"/>
        <v>455.34</v>
      </c>
      <c r="F21" s="347">
        <v>0</v>
      </c>
      <c r="G21" s="347">
        <f>ROUND(D21*75.89%,2)</f>
        <v>455.34</v>
      </c>
      <c r="H21" s="347">
        <f t="shared" si="2"/>
        <v>85.74</v>
      </c>
      <c r="I21" s="347">
        <f>ROUND(D21*14.29%,2)</f>
        <v>85.74</v>
      </c>
      <c r="J21" s="519">
        <f>ROUND(D21*7.59%,2)</f>
        <v>45.54</v>
      </c>
      <c r="K21" s="519">
        <f>ROUND(D21*2.23%,2)</f>
        <v>13.38</v>
      </c>
    </row>
    <row r="22" spans="1:11" ht="11.25" customHeight="1">
      <c r="A22" s="112">
        <v>528110</v>
      </c>
      <c r="B22" s="112">
        <v>57000</v>
      </c>
      <c r="C22" s="122" t="s">
        <v>226</v>
      </c>
      <c r="D22" s="368">
        <v>5000</v>
      </c>
      <c r="E22" s="347">
        <f t="shared" si="1"/>
        <v>0</v>
      </c>
      <c r="F22" s="347">
        <v>0</v>
      </c>
      <c r="G22" s="347">
        <v>0</v>
      </c>
      <c r="H22" s="347">
        <f t="shared" si="2"/>
        <v>5000</v>
      </c>
      <c r="I22" s="347">
        <f>ROUND(D22*100%,2)</f>
        <v>5000</v>
      </c>
      <c r="J22" s="519">
        <v>0</v>
      </c>
      <c r="K22" s="520">
        <v>0</v>
      </c>
    </row>
    <row r="23" spans="1:11" ht="11.25" customHeight="1">
      <c r="A23" s="112">
        <v>528112</v>
      </c>
      <c r="B23" s="112"/>
      <c r="C23" s="122" t="s">
        <v>368</v>
      </c>
      <c r="D23" s="368">
        <v>60000</v>
      </c>
      <c r="E23" s="347">
        <f t="shared" si="1"/>
        <v>0</v>
      </c>
      <c r="F23" s="347">
        <v>0</v>
      </c>
      <c r="G23" s="347">
        <v>0</v>
      </c>
      <c r="H23" s="347">
        <f t="shared" si="2"/>
        <v>60000</v>
      </c>
      <c r="I23" s="347">
        <f>ROUND(D23*100%,2)</f>
        <v>60000</v>
      </c>
      <c r="J23" s="519">
        <v>0</v>
      </c>
      <c r="K23" s="520">
        <v>0</v>
      </c>
    </row>
    <row r="24" spans="1:11" ht="11.25" customHeight="1">
      <c r="A24" s="112">
        <v>529140</v>
      </c>
      <c r="B24" s="112">
        <v>57200</v>
      </c>
      <c r="C24" s="122" t="s">
        <v>115</v>
      </c>
      <c r="D24" s="368">
        <v>77200</v>
      </c>
      <c r="E24" s="347">
        <f t="shared" si="1"/>
        <v>39200</v>
      </c>
      <c r="F24" s="347">
        <v>5200</v>
      </c>
      <c r="G24" s="347">
        <v>34000</v>
      </c>
      <c r="H24" s="347">
        <f t="shared" si="2"/>
        <v>38000</v>
      </c>
      <c r="I24" s="347">
        <v>38000</v>
      </c>
      <c r="J24" s="519">
        <v>0</v>
      </c>
      <c r="K24" s="520">
        <v>0</v>
      </c>
    </row>
    <row r="25" spans="1:11" ht="11.25" customHeight="1">
      <c r="A25" s="112">
        <v>529190</v>
      </c>
      <c r="B25" s="112"/>
      <c r="C25" s="122" t="s">
        <v>377</v>
      </c>
      <c r="D25" s="368">
        <v>800</v>
      </c>
      <c r="E25" s="347">
        <f t="shared" si="1"/>
        <v>0</v>
      </c>
      <c r="F25" s="347">
        <v>0</v>
      </c>
      <c r="G25" s="347">
        <v>0</v>
      </c>
      <c r="H25" s="347">
        <f>SUM(I25:I25)</f>
        <v>800</v>
      </c>
      <c r="I25" s="347">
        <v>800</v>
      </c>
      <c r="J25" s="519">
        <v>0</v>
      </c>
      <c r="K25" s="519">
        <v>0</v>
      </c>
    </row>
    <row r="26" spans="1:13" ht="11.25" customHeight="1">
      <c r="A26" s="112">
        <v>524190</v>
      </c>
      <c r="B26" s="112">
        <v>58900</v>
      </c>
      <c r="C26" s="122" t="s">
        <v>456</v>
      </c>
      <c r="D26" s="368">
        <v>16000</v>
      </c>
      <c r="E26" s="347">
        <f t="shared" si="1"/>
        <v>12142.4</v>
      </c>
      <c r="F26" s="347">
        <v>0</v>
      </c>
      <c r="G26" s="347">
        <f>ROUND(D26*75.89%,2)</f>
        <v>12142.4</v>
      </c>
      <c r="H26" s="347">
        <f>SUM(I26:I26)</f>
        <v>2286.4</v>
      </c>
      <c r="I26" s="347">
        <f>ROUND(D26*14.29%,2)</f>
        <v>2286.4</v>
      </c>
      <c r="J26" s="519">
        <f>ROUND(D26*7.59%,2)</f>
        <v>1214.4</v>
      </c>
      <c r="K26" s="519">
        <f>ROUND(D26*2.23%,2)</f>
        <v>356.8</v>
      </c>
      <c r="M26" s="123"/>
    </row>
    <row r="27" spans="1:13" ht="11.25" customHeight="1">
      <c r="A27" s="112">
        <v>581110</v>
      </c>
      <c r="B27" s="112">
        <v>67900</v>
      </c>
      <c r="C27" s="122" t="s">
        <v>351</v>
      </c>
      <c r="D27" s="368">
        <v>242017.98</v>
      </c>
      <c r="E27" s="347">
        <f>SUM(F27+G27)</f>
        <v>114964.79</v>
      </c>
      <c r="F27" s="347">
        <v>15377.61</v>
      </c>
      <c r="G27" s="347">
        <v>99587.18</v>
      </c>
      <c r="H27" s="347">
        <v>122642.53</v>
      </c>
      <c r="I27" s="347">
        <v>122642.53</v>
      </c>
      <c r="J27" s="347">
        <v>3075.49</v>
      </c>
      <c r="K27" s="347">
        <v>1335.17</v>
      </c>
      <c r="M27" s="123"/>
    </row>
    <row r="28" spans="1:11" ht="11.25" customHeight="1">
      <c r="A28" s="270">
        <v>359998</v>
      </c>
      <c r="B28" s="270">
        <v>68000</v>
      </c>
      <c r="C28" s="122" t="s">
        <v>349</v>
      </c>
      <c r="D28" s="368">
        <v>3869.99</v>
      </c>
      <c r="E28" s="347">
        <f>SUM(F28:G28)</f>
        <v>0</v>
      </c>
      <c r="F28" s="347">
        <v>0</v>
      </c>
      <c r="G28" s="347">
        <v>0</v>
      </c>
      <c r="H28" s="347">
        <f>SUM(I28:I28)</f>
        <v>3869.99</v>
      </c>
      <c r="I28" s="347">
        <v>3869.99</v>
      </c>
      <c r="J28" s="623">
        <v>0</v>
      </c>
      <c r="K28" s="347">
        <v>0</v>
      </c>
    </row>
    <row r="29" spans="1:11" ht="12" customHeight="1">
      <c r="A29" s="270">
        <v>359998</v>
      </c>
      <c r="B29" s="270">
        <v>68500</v>
      </c>
      <c r="C29" s="122" t="s">
        <v>350</v>
      </c>
      <c r="D29" s="368">
        <v>1322.84</v>
      </c>
      <c r="E29" s="347">
        <f>SUM(F29:G29)</f>
        <v>0</v>
      </c>
      <c r="F29" s="347">
        <v>0</v>
      </c>
      <c r="G29" s="347">
        <v>0</v>
      </c>
      <c r="H29" s="347">
        <f>SUM(I29:I29)</f>
        <v>1322.84</v>
      </c>
      <c r="I29" s="347">
        <v>1322.84</v>
      </c>
      <c r="J29" s="623">
        <v>0</v>
      </c>
      <c r="K29" s="347">
        <v>0</v>
      </c>
    </row>
    <row r="30" spans="1:11" ht="12" customHeight="1">
      <c r="A30" s="369"/>
      <c r="B30" s="369"/>
      <c r="C30" s="122" t="s">
        <v>519</v>
      </c>
      <c r="D30" s="368">
        <v>35585.64</v>
      </c>
      <c r="E30" s="624"/>
      <c r="F30" s="624"/>
      <c r="G30" s="624"/>
      <c r="H30" s="624">
        <v>35585.64</v>
      </c>
      <c r="I30" s="347">
        <v>35585.64</v>
      </c>
      <c r="J30" s="625"/>
      <c r="K30" s="347"/>
    </row>
    <row r="31" spans="1:12" ht="9.75">
      <c r="A31" s="112"/>
      <c r="B31" s="112"/>
      <c r="C31" s="122" t="s">
        <v>131</v>
      </c>
      <c r="D31" s="368">
        <f>SUM(D11:D30)</f>
        <v>525146.45</v>
      </c>
      <c r="E31" s="368">
        <f>SUM(E11:E29)</f>
        <v>210642.94999999998</v>
      </c>
      <c r="F31" s="368">
        <f>SUM(F11:F29)</f>
        <v>20624</v>
      </c>
      <c r="G31" s="368">
        <f>SUM(G11:G29)-0.02</f>
        <v>190018.93</v>
      </c>
      <c r="H31" s="368">
        <f>SUM(H11:H30)</f>
        <v>303768.76</v>
      </c>
      <c r="I31" s="368">
        <f>SUM(I11:I30)</f>
        <v>303768.76</v>
      </c>
      <c r="J31" s="368">
        <f>SUM(J16:J27)+SUM(J28:J29)+0.01</f>
        <v>7963.46</v>
      </c>
      <c r="K31" s="368">
        <f>SUM(K16:K27)+SUM(K28:K29)+0.01</f>
        <v>2771.3</v>
      </c>
      <c r="L31" s="48"/>
    </row>
    <row r="32" spans="1:11" ht="8.25">
      <c r="A32" s="124"/>
      <c r="B32" s="124"/>
      <c r="C32" s="637" t="s">
        <v>517</v>
      </c>
      <c r="D32" s="638" t="s">
        <v>520</v>
      </c>
      <c r="E32" s="638"/>
      <c r="F32" s="639"/>
      <c r="G32" s="125"/>
      <c r="H32" s="125"/>
      <c r="I32" s="125"/>
      <c r="J32" s="125"/>
      <c r="K32" s="125"/>
    </row>
    <row r="33" spans="1:11" ht="9">
      <c r="A33" s="208" t="s">
        <v>227</v>
      </c>
      <c r="B33" s="208"/>
      <c r="D33" s="125"/>
      <c r="E33" s="125"/>
      <c r="F33" s="125"/>
      <c r="G33" s="125"/>
      <c r="H33" s="125"/>
      <c r="I33" s="125"/>
      <c r="J33" s="125"/>
      <c r="K33" s="125"/>
    </row>
    <row r="34" spans="1:11" ht="8.25">
      <c r="A34" s="126" t="s">
        <v>190</v>
      </c>
      <c r="B34" s="126"/>
      <c r="D34" s="125"/>
      <c r="E34" s="125"/>
      <c r="F34" s="125"/>
      <c r="G34" s="125"/>
      <c r="H34" s="125"/>
      <c r="I34" s="125"/>
      <c r="J34" s="125"/>
      <c r="K34" s="125"/>
    </row>
    <row r="35" spans="1:11" ht="9.75">
      <c r="A35" s="99" t="s">
        <v>313</v>
      </c>
      <c r="B35" s="99" t="s">
        <v>195</v>
      </c>
      <c r="C35" s="99" t="s">
        <v>196</v>
      </c>
      <c r="D35" s="100" t="s">
        <v>412</v>
      </c>
      <c r="E35" s="100" t="s">
        <v>228</v>
      </c>
      <c r="F35" s="204"/>
      <c r="G35" s="205"/>
      <c r="H35" s="100" t="s">
        <v>229</v>
      </c>
      <c r="I35" s="205"/>
      <c r="J35" s="101" t="s">
        <v>199</v>
      </c>
      <c r="K35" s="99" t="s">
        <v>200</v>
      </c>
    </row>
    <row r="36" spans="1:11" ht="9.75">
      <c r="A36" s="102"/>
      <c r="B36" s="102"/>
      <c r="C36" s="103"/>
      <c r="D36" s="104" t="s">
        <v>415</v>
      </c>
      <c r="E36" s="105" t="s">
        <v>230</v>
      </c>
      <c r="F36" s="641" t="s">
        <v>231</v>
      </c>
      <c r="G36" s="642"/>
      <c r="H36" s="105" t="s">
        <v>232</v>
      </c>
      <c r="I36" s="111"/>
      <c r="J36" s="106" t="s">
        <v>201</v>
      </c>
      <c r="K36" s="102" t="s">
        <v>202</v>
      </c>
    </row>
    <row r="37" spans="1:11" ht="9">
      <c r="A37" s="103"/>
      <c r="B37" s="103"/>
      <c r="C37" s="103"/>
      <c r="D37" s="104"/>
      <c r="E37" s="103"/>
      <c r="F37" s="107" t="s">
        <v>190</v>
      </c>
      <c r="G37" s="107"/>
      <c r="H37" s="103"/>
      <c r="I37" s="107"/>
      <c r="J37" s="106" t="s">
        <v>203</v>
      </c>
      <c r="K37" s="103"/>
    </row>
    <row r="38" spans="1:11" ht="9">
      <c r="A38" s="108"/>
      <c r="B38" s="108"/>
      <c r="C38" s="109"/>
      <c r="D38" s="110" t="s">
        <v>204</v>
      </c>
      <c r="E38" s="108" t="s">
        <v>205</v>
      </c>
      <c r="F38" s="108" t="s">
        <v>132</v>
      </c>
      <c r="G38" s="108" t="s">
        <v>133</v>
      </c>
      <c r="H38" s="108" t="s">
        <v>294</v>
      </c>
      <c r="I38" s="108" t="s">
        <v>134</v>
      </c>
      <c r="J38" s="111" t="s">
        <v>206</v>
      </c>
      <c r="K38" s="108" t="s">
        <v>207</v>
      </c>
    </row>
    <row r="39" spans="1:11" s="13" customFormat="1" ht="9">
      <c r="A39" s="112" t="s">
        <v>208</v>
      </c>
      <c r="B39" s="112"/>
      <c r="C39" s="112" t="s">
        <v>209</v>
      </c>
      <c r="D39" s="113" t="s">
        <v>233</v>
      </c>
      <c r="E39" s="114" t="s">
        <v>234</v>
      </c>
      <c r="F39" s="114" t="s">
        <v>235</v>
      </c>
      <c r="G39" s="114" t="s">
        <v>236</v>
      </c>
      <c r="H39" s="114" t="s">
        <v>237</v>
      </c>
      <c r="I39" s="114" t="s">
        <v>348</v>
      </c>
      <c r="J39" s="115" t="s">
        <v>215</v>
      </c>
      <c r="K39" s="114" t="s">
        <v>216</v>
      </c>
    </row>
    <row r="40" spans="1:12" s="51" customFormat="1" ht="11.25" customHeight="1">
      <c r="A40" s="116"/>
      <c r="B40" s="116"/>
      <c r="C40" s="116" t="s">
        <v>238</v>
      </c>
      <c r="D40" s="117"/>
      <c r="E40" s="118"/>
      <c r="F40" s="118" t="s">
        <v>217</v>
      </c>
      <c r="G40" s="118" t="s">
        <v>218</v>
      </c>
      <c r="H40" s="118"/>
      <c r="I40" s="118" t="s">
        <v>219</v>
      </c>
      <c r="J40" s="119" t="s">
        <v>220</v>
      </c>
      <c r="K40" s="120" t="s">
        <v>221</v>
      </c>
      <c r="L40" s="121"/>
    </row>
    <row r="41" spans="1:11" ht="11.25" customHeight="1">
      <c r="A41" s="112">
        <v>432120</v>
      </c>
      <c r="B41" s="112">
        <v>11200</v>
      </c>
      <c r="C41" s="122" t="s">
        <v>239</v>
      </c>
      <c r="D41" s="368">
        <f>SUM(E41+I41+J41+K41)</f>
        <v>327443.24</v>
      </c>
      <c r="E41" s="370">
        <f>F41+G41</f>
        <v>136633.94</v>
      </c>
      <c r="F41" s="347">
        <v>14051.55</v>
      </c>
      <c r="G41" s="347">
        <v>122582.39</v>
      </c>
      <c r="H41" s="370">
        <v>190809.3</v>
      </c>
      <c r="I41" s="347">
        <v>190809.3</v>
      </c>
      <c r="J41" s="623">
        <v>0</v>
      </c>
      <c r="K41" s="347">
        <v>0</v>
      </c>
    </row>
    <row r="42" spans="1:12" ht="11.25" customHeight="1">
      <c r="A42" s="112"/>
      <c r="B42" s="112"/>
      <c r="C42" s="122" t="s">
        <v>240</v>
      </c>
      <c r="D42" s="206"/>
      <c r="E42" s="370"/>
      <c r="F42" s="370"/>
      <c r="G42" s="370"/>
      <c r="H42" s="370"/>
      <c r="I42" s="370"/>
      <c r="J42" s="626"/>
      <c r="K42" s="370"/>
      <c r="L42" s="48"/>
    </row>
    <row r="43" spans="1:11" ht="11.25" customHeight="1">
      <c r="A43" s="112">
        <v>481110</v>
      </c>
      <c r="B43" s="112">
        <v>16900</v>
      </c>
      <c r="C43" s="122" t="s">
        <v>5</v>
      </c>
      <c r="D43" s="206"/>
      <c r="E43" s="370"/>
      <c r="F43" s="370"/>
      <c r="G43" s="370"/>
      <c r="H43" s="370"/>
      <c r="I43" s="370"/>
      <c r="J43" s="626"/>
      <c r="K43" s="370"/>
    </row>
    <row r="44" spans="1:11" ht="11.25" customHeight="1">
      <c r="A44" s="112"/>
      <c r="B44" s="112"/>
      <c r="C44" s="122" t="s">
        <v>241</v>
      </c>
      <c r="D44" s="368">
        <f>SUM(E44+I44+J44+K44)</f>
        <v>128602.93</v>
      </c>
      <c r="E44" s="370">
        <f>F44+G44</f>
        <v>52660.74</v>
      </c>
      <c r="F44" s="370">
        <v>5156</v>
      </c>
      <c r="G44" s="370">
        <v>47504.74</v>
      </c>
      <c r="H44" s="370">
        <v>75942.19</v>
      </c>
      <c r="I44" s="370">
        <v>75942.19</v>
      </c>
      <c r="J44" s="626">
        <v>0</v>
      </c>
      <c r="K44" s="370">
        <v>0</v>
      </c>
    </row>
    <row r="45" spans="1:11" ht="11.25" customHeight="1">
      <c r="A45" s="112"/>
      <c r="B45" s="112"/>
      <c r="C45" s="122" t="s">
        <v>242</v>
      </c>
      <c r="D45" s="206"/>
      <c r="E45" s="370"/>
      <c r="F45" s="370"/>
      <c r="G45" s="370"/>
      <c r="H45" s="370"/>
      <c r="I45" s="370"/>
      <c r="J45" s="626"/>
      <c r="K45" s="370"/>
    </row>
    <row r="46" spans="1:11" ht="11.25" customHeight="1">
      <c r="A46" s="112"/>
      <c r="B46" s="112"/>
      <c r="C46" s="122" t="s">
        <v>243</v>
      </c>
      <c r="D46" s="368">
        <f>SUM(E46+I46+J46+K46)</f>
        <v>464.79</v>
      </c>
      <c r="E46" s="370">
        <f>F46+G46</f>
        <v>1.3800000000000001</v>
      </c>
      <c r="F46" s="370">
        <v>-1.14</v>
      </c>
      <c r="G46" s="370">
        <v>2.52</v>
      </c>
      <c r="H46" s="370">
        <v>463.41</v>
      </c>
      <c r="I46" s="370">
        <v>463.41</v>
      </c>
      <c r="J46" s="626">
        <v>0</v>
      </c>
      <c r="K46" s="370">
        <v>0</v>
      </c>
    </row>
    <row r="47" spans="1:11" ht="11.25" customHeight="1">
      <c r="A47" s="112"/>
      <c r="B47" s="112"/>
      <c r="C47" s="122" t="s">
        <v>244</v>
      </c>
      <c r="D47" s="368">
        <f>SUM(E47+I47+J47+K47)</f>
        <v>65864.19</v>
      </c>
      <c r="E47" s="370">
        <f>F47+G47</f>
        <v>21346.87</v>
      </c>
      <c r="F47" s="370">
        <v>1417.59</v>
      </c>
      <c r="G47" s="370">
        <v>19929.28</v>
      </c>
      <c r="H47" s="370">
        <v>36553.86</v>
      </c>
      <c r="I47" s="370">
        <v>36553.86</v>
      </c>
      <c r="J47" s="626">
        <v>7963.46</v>
      </c>
      <c r="K47" s="370">
        <v>0</v>
      </c>
    </row>
    <row r="48" spans="1:13" ht="11.25" customHeight="1">
      <c r="A48" s="112"/>
      <c r="B48" s="112"/>
      <c r="C48" s="122" t="s">
        <v>245</v>
      </c>
      <c r="D48" s="206"/>
      <c r="E48" s="370"/>
      <c r="F48" s="370"/>
      <c r="G48" s="370"/>
      <c r="H48" s="370"/>
      <c r="I48" s="370"/>
      <c r="J48" s="626"/>
      <c r="K48" s="370"/>
      <c r="M48" s="123"/>
    </row>
    <row r="49" spans="1:13" ht="11.25" customHeight="1">
      <c r="A49" s="112"/>
      <c r="B49" s="112"/>
      <c r="C49" s="122" t="s">
        <v>246</v>
      </c>
      <c r="D49" s="368">
        <f>SUM(E49+I49+J49+K49)</f>
        <v>2771.3</v>
      </c>
      <c r="E49" s="370"/>
      <c r="F49" s="370"/>
      <c r="G49" s="370"/>
      <c r="H49" s="370"/>
      <c r="I49" s="370"/>
      <c r="J49" s="626"/>
      <c r="K49" s="370">
        <v>2771.3</v>
      </c>
      <c r="M49" s="123"/>
    </row>
    <row r="50" spans="1:11" ht="9">
      <c r="A50" s="270">
        <v>359998</v>
      </c>
      <c r="B50" s="270">
        <v>28006</v>
      </c>
      <c r="C50" s="207" t="s">
        <v>247</v>
      </c>
      <c r="D50" s="368">
        <f>SUM(E50+I50+J50+K50)</f>
        <v>0</v>
      </c>
      <c r="E50" s="371">
        <v>0</v>
      </c>
      <c r="F50" s="627">
        <v>0</v>
      </c>
      <c r="G50" s="627">
        <v>0</v>
      </c>
      <c r="H50" s="370"/>
      <c r="I50" s="627">
        <v>0</v>
      </c>
      <c r="J50" s="628">
        <v>0</v>
      </c>
      <c r="K50" s="371">
        <v>0</v>
      </c>
    </row>
    <row r="51" spans="1:11" ht="9">
      <c r="A51" s="112"/>
      <c r="B51" s="112"/>
      <c r="C51" s="122" t="s">
        <v>131</v>
      </c>
      <c r="D51" s="368">
        <f>SUM(D41:D50)</f>
        <v>525146.45</v>
      </c>
      <c r="E51" s="371">
        <f aca="true" t="shared" si="3" ref="E51:K51">SUM(E41:E50)</f>
        <v>210642.93</v>
      </c>
      <c r="F51" s="371">
        <f t="shared" si="3"/>
        <v>20624</v>
      </c>
      <c r="G51" s="627">
        <f t="shared" si="3"/>
        <v>190018.93</v>
      </c>
      <c r="H51" s="371">
        <f t="shared" si="3"/>
        <v>303768.75999999995</v>
      </c>
      <c r="I51" s="627">
        <f t="shared" si="3"/>
        <v>303768.75999999995</v>
      </c>
      <c r="J51" s="628">
        <f t="shared" si="3"/>
        <v>7963.46</v>
      </c>
      <c r="K51" s="371">
        <f t="shared" si="3"/>
        <v>2771.3</v>
      </c>
    </row>
    <row r="52" spans="4:12" ht="9">
      <c r="D52" s="268">
        <f>D51-D31</f>
        <v>0</v>
      </c>
      <c r="E52" s="208" t="s">
        <v>273</v>
      </c>
      <c r="F52" s="262"/>
      <c r="L52" s="48"/>
    </row>
    <row r="53" ht="8.25">
      <c r="D53" s="98"/>
    </row>
    <row r="54" spans="1:3" ht="9">
      <c r="A54" s="209" t="s">
        <v>248</v>
      </c>
      <c r="B54" s="209"/>
      <c r="C54" s="210" t="s">
        <v>249</v>
      </c>
    </row>
    <row r="55" spans="1:3" ht="9">
      <c r="A55" s="209"/>
      <c r="B55" s="209"/>
      <c r="C55" s="209" t="s">
        <v>515</v>
      </c>
    </row>
  </sheetData>
  <sheetProtection/>
  <mergeCells count="4">
    <mergeCell ref="F36:G36"/>
    <mergeCell ref="E5:G5"/>
    <mergeCell ref="H5:I5"/>
    <mergeCell ref="F6:G6"/>
  </mergeCells>
  <printOptions/>
  <pageMargins left="0.3937007874015748" right="0.3937007874015748" top="0.3937007874015748" bottom="0.1968503937007874" header="0.7086614173228347" footer="0.5118110236220472"/>
  <pageSetup horizontalDpi="300" verticalDpi="300" orientation="landscape" paperSize="9" r:id="rId3"/>
  <headerFooter alignWithMargins="0">
    <oddFooter>&amp;R&amp;8 &amp;D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Q640"/>
  <sheetViews>
    <sheetView zoomScalePageLayoutView="0" workbookViewId="0" topLeftCell="A497">
      <selection activeCell="A504" sqref="A504:O548"/>
    </sheetView>
  </sheetViews>
  <sheetFormatPr defaultColWidth="10.00390625" defaultRowHeight="12.75"/>
  <cols>
    <col min="1" max="1" width="7.7109375" style="1" customWidth="1"/>
    <col min="2" max="2" width="13.00390625" style="1" customWidth="1"/>
    <col min="3" max="5" width="10.00390625" style="1" customWidth="1"/>
    <col min="6" max="6" width="3.00390625" style="1" customWidth="1"/>
    <col min="7" max="7" width="14.00390625" style="1" customWidth="1"/>
    <col min="8" max="8" width="7.8515625" style="1" customWidth="1"/>
    <col min="9" max="9" width="14.00390625" style="1" customWidth="1"/>
    <col min="10" max="10" width="2.00390625" style="1" customWidth="1"/>
    <col min="11" max="11" width="15.00390625" style="3" customWidth="1"/>
    <col min="12" max="12" width="15.140625" style="1" customWidth="1"/>
    <col min="13" max="13" width="0.13671875" style="1" customWidth="1"/>
    <col min="14" max="14" width="10.00390625" style="1" hidden="1" customWidth="1"/>
    <col min="15" max="15" width="20.140625" style="1" customWidth="1"/>
    <col min="16" max="16" width="13.7109375" style="1" customWidth="1"/>
    <col min="17" max="16384" width="10.00390625" style="1" customWidth="1"/>
  </cols>
  <sheetData>
    <row r="1" spans="1:16" ht="12.75">
      <c r="A1" s="163"/>
      <c r="B1" s="164"/>
      <c r="C1" s="165"/>
      <c r="D1" s="165"/>
      <c r="E1" s="165"/>
      <c r="F1" s="165"/>
      <c r="G1" s="165"/>
      <c r="H1" s="165"/>
      <c r="I1" s="165"/>
      <c r="J1" s="165"/>
      <c r="K1" s="433" t="s">
        <v>413</v>
      </c>
      <c r="L1" s="433" t="s">
        <v>414</v>
      </c>
      <c r="M1" s="165"/>
      <c r="N1" s="165"/>
      <c r="O1" s="551" t="s">
        <v>512</v>
      </c>
      <c r="P1" s="8"/>
    </row>
    <row r="2" spans="1:15" ht="12.75">
      <c r="A2" s="160"/>
      <c r="B2" s="8"/>
      <c r="C2" s="11"/>
      <c r="D2" s="11"/>
      <c r="E2" s="11"/>
      <c r="F2" s="11"/>
      <c r="G2" s="11"/>
      <c r="H2" s="11"/>
      <c r="I2" s="11"/>
      <c r="J2" s="11"/>
      <c r="K2" s="162" t="s">
        <v>186</v>
      </c>
      <c r="L2" s="552" t="s">
        <v>186</v>
      </c>
      <c r="M2" s="176"/>
      <c r="N2" s="176"/>
      <c r="O2" s="553" t="s">
        <v>415</v>
      </c>
    </row>
    <row r="3" spans="1:15" ht="12.75" customHeight="1">
      <c r="A3" s="163"/>
      <c r="B3" s="164"/>
      <c r="C3" s="165"/>
      <c r="D3" s="165"/>
      <c r="E3" s="165"/>
      <c r="F3" s="165"/>
      <c r="G3" s="165"/>
      <c r="H3" s="165"/>
      <c r="I3" s="165"/>
      <c r="J3" s="165"/>
      <c r="K3" s="166"/>
      <c r="L3" s="11"/>
      <c r="M3" s="11"/>
      <c r="N3" s="11"/>
      <c r="O3" s="522"/>
    </row>
    <row r="4" spans="1:16" ht="12.75">
      <c r="A4" s="167" t="s">
        <v>0</v>
      </c>
      <c r="B4" s="91" t="s">
        <v>1</v>
      </c>
      <c r="C4" s="168"/>
      <c r="D4" s="168"/>
      <c r="E4" s="168"/>
      <c r="F4" s="168"/>
      <c r="G4" s="168"/>
      <c r="H4" s="168"/>
      <c r="I4" s="168"/>
      <c r="J4" s="168"/>
      <c r="K4" s="159"/>
      <c r="L4" s="168"/>
      <c r="M4" s="11"/>
      <c r="N4" s="11"/>
      <c r="O4" s="554"/>
      <c r="P4" s="423"/>
    </row>
    <row r="5" spans="1:15" ht="12.75">
      <c r="A5" s="160"/>
      <c r="B5" s="8"/>
      <c r="C5" s="11"/>
      <c r="D5" s="11"/>
      <c r="E5" s="11"/>
      <c r="F5" s="11"/>
      <c r="G5" s="11"/>
      <c r="H5" s="11"/>
      <c r="I5" s="11"/>
      <c r="J5" s="11"/>
      <c r="L5" s="11"/>
      <c r="M5" s="11"/>
      <c r="N5" s="11"/>
      <c r="O5" s="522"/>
    </row>
    <row r="6" spans="1:15" ht="12.75">
      <c r="A6" s="160" t="s">
        <v>2</v>
      </c>
      <c r="B6" s="8" t="s">
        <v>3</v>
      </c>
      <c r="C6" s="11"/>
      <c r="D6" s="11"/>
      <c r="E6" s="11"/>
      <c r="F6" s="11"/>
      <c r="G6" s="11"/>
      <c r="H6" s="11"/>
      <c r="I6" s="11"/>
      <c r="J6" s="11"/>
      <c r="K6" s="162"/>
      <c r="L6" s="11"/>
      <c r="M6" s="11"/>
      <c r="N6" s="11"/>
      <c r="O6" s="522"/>
    </row>
    <row r="7" spans="1:15" ht="12.75" customHeight="1">
      <c r="A7" s="169"/>
      <c r="B7" s="11"/>
      <c r="C7" s="11"/>
      <c r="D7" s="11"/>
      <c r="E7" s="11"/>
      <c r="F7" s="11"/>
      <c r="G7" s="11"/>
      <c r="H7" s="11"/>
      <c r="I7" s="11"/>
      <c r="J7" s="11"/>
      <c r="K7" s="162"/>
      <c r="L7" s="11"/>
      <c r="M7" s="11"/>
      <c r="N7" s="11"/>
      <c r="O7" s="522"/>
    </row>
    <row r="8" spans="1:16" ht="12.75">
      <c r="A8" s="169" t="s">
        <v>4</v>
      </c>
      <c r="B8" s="8" t="s">
        <v>304</v>
      </c>
      <c r="C8" s="8" t="s">
        <v>115</v>
      </c>
      <c r="D8" s="8"/>
      <c r="E8" s="11"/>
      <c r="F8" s="11"/>
      <c r="G8" s="11"/>
      <c r="H8" s="11"/>
      <c r="I8" s="11"/>
      <c r="J8" s="11"/>
      <c r="K8" s="159">
        <v>5200</v>
      </c>
      <c r="L8" s="555">
        <v>5200</v>
      </c>
      <c r="M8" s="11"/>
      <c r="N8" s="11"/>
      <c r="O8" s="556">
        <v>5200</v>
      </c>
      <c r="P8" s="424"/>
    </row>
    <row r="9" spans="1:16" ht="12.75">
      <c r="A9" s="160"/>
      <c r="B9" s="8" t="s">
        <v>327</v>
      </c>
      <c r="C9" s="11" t="s">
        <v>250</v>
      </c>
      <c r="D9" s="11"/>
      <c r="E9" s="11"/>
      <c r="F9" s="11"/>
      <c r="G9" s="11"/>
      <c r="H9" s="11"/>
      <c r="I9" s="11"/>
      <c r="J9" s="11"/>
      <c r="K9" s="162"/>
      <c r="L9" s="420"/>
      <c r="M9" s="11"/>
      <c r="N9" s="11"/>
      <c r="O9" s="521"/>
      <c r="P9" s="421"/>
    </row>
    <row r="10" spans="1:16" ht="12.75">
      <c r="A10" s="160"/>
      <c r="B10" s="8"/>
      <c r="C10" s="11"/>
      <c r="D10" s="11"/>
      <c r="E10" s="11"/>
      <c r="F10" s="11"/>
      <c r="G10" s="11"/>
      <c r="H10" s="11"/>
      <c r="I10" s="11"/>
      <c r="J10" s="11"/>
      <c r="K10" s="162"/>
      <c r="L10" s="420"/>
      <c r="M10" s="11"/>
      <c r="N10" s="11"/>
      <c r="O10" s="521"/>
      <c r="P10" s="421"/>
    </row>
    <row r="11" spans="1:16" ht="12.75">
      <c r="A11" s="169" t="s">
        <v>43</v>
      </c>
      <c r="B11" s="8"/>
      <c r="C11" s="8" t="s">
        <v>362</v>
      </c>
      <c r="D11" s="8"/>
      <c r="E11" s="8"/>
      <c r="F11" s="11"/>
      <c r="G11" s="11"/>
      <c r="H11" s="11"/>
      <c r="I11" s="155" t="s">
        <v>191</v>
      </c>
      <c r="J11" s="11"/>
      <c r="K11" s="557">
        <v>35.14</v>
      </c>
      <c r="L11" s="558">
        <v>35.68</v>
      </c>
      <c r="M11" s="11"/>
      <c r="N11" s="11"/>
      <c r="O11" s="559">
        <v>35.41</v>
      </c>
      <c r="P11" s="424"/>
    </row>
    <row r="12" spans="1:16" ht="12.75">
      <c r="A12" s="169"/>
      <c r="B12" s="8"/>
      <c r="C12" s="8"/>
      <c r="D12" s="8"/>
      <c r="E12" s="8"/>
      <c r="F12" s="11"/>
      <c r="G12" s="11"/>
      <c r="H12" s="11"/>
      <c r="I12" s="155"/>
      <c r="J12" s="11"/>
      <c r="K12" s="372"/>
      <c r="L12" s="420"/>
      <c r="M12" s="11"/>
      <c r="N12" s="11"/>
      <c r="O12" s="521"/>
      <c r="P12" s="421"/>
    </row>
    <row r="13" spans="1:16" ht="12.75">
      <c r="A13" s="169"/>
      <c r="B13" s="8" t="s">
        <v>370</v>
      </c>
      <c r="C13" s="8" t="s">
        <v>371</v>
      </c>
      <c r="D13" s="8"/>
      <c r="E13" s="8"/>
      <c r="F13" s="11"/>
      <c r="G13" s="11"/>
      <c r="H13" s="11"/>
      <c r="I13" s="155" t="s">
        <v>191</v>
      </c>
      <c r="J13" s="11"/>
      <c r="K13" s="557">
        <v>10.98</v>
      </c>
      <c r="L13" s="555">
        <v>10.98</v>
      </c>
      <c r="M13" s="11"/>
      <c r="N13" s="11"/>
      <c r="O13" s="556">
        <f>ROUND((K13+L13)/2,2)</f>
        <v>10.98</v>
      </c>
      <c r="P13" s="424"/>
    </row>
    <row r="14" spans="1:16" ht="12.75">
      <c r="A14" s="169"/>
      <c r="B14" s="11"/>
      <c r="C14" s="11"/>
      <c r="D14" s="11"/>
      <c r="E14" s="11"/>
      <c r="F14" s="11"/>
      <c r="G14" s="11"/>
      <c r="H14" s="11"/>
      <c r="I14" s="11"/>
      <c r="J14" s="11"/>
      <c r="K14" s="162"/>
      <c r="L14" s="420"/>
      <c r="M14" s="11"/>
      <c r="N14" s="11"/>
      <c r="O14" s="521"/>
      <c r="P14" s="421"/>
    </row>
    <row r="15" spans="1:16" ht="12.75">
      <c r="A15" s="169" t="s">
        <v>43</v>
      </c>
      <c r="B15" s="8" t="s">
        <v>305</v>
      </c>
      <c r="C15" s="8" t="s">
        <v>5</v>
      </c>
      <c r="D15" s="8"/>
      <c r="E15" s="11"/>
      <c r="F15" s="11"/>
      <c r="G15" s="11"/>
      <c r="H15" s="11"/>
      <c r="I15" s="11"/>
      <c r="J15" s="11"/>
      <c r="L15" s="420"/>
      <c r="M15" s="11"/>
      <c r="N15" s="11"/>
      <c r="O15" s="521"/>
      <c r="P15" s="421"/>
    </row>
    <row r="16" spans="1:16" ht="12.75">
      <c r="A16" s="169"/>
      <c r="B16" s="11" t="s">
        <v>328</v>
      </c>
      <c r="C16" s="11"/>
      <c r="D16" s="11"/>
      <c r="E16" s="11"/>
      <c r="F16" s="11"/>
      <c r="G16" s="11"/>
      <c r="H16" s="11"/>
      <c r="I16" s="11"/>
      <c r="J16" s="11"/>
      <c r="L16" s="420"/>
      <c r="M16" s="11"/>
      <c r="N16" s="11"/>
      <c r="O16" s="521"/>
      <c r="P16" s="421"/>
    </row>
    <row r="17" spans="1:16" ht="12.75">
      <c r="A17" s="169" t="s">
        <v>58</v>
      </c>
      <c r="B17" s="11"/>
      <c r="C17" s="7" t="s">
        <v>44</v>
      </c>
      <c r="D17" s="11"/>
      <c r="E17" s="11"/>
      <c r="F17" s="11"/>
      <c r="G17" s="11"/>
      <c r="H17" s="11"/>
      <c r="I17" s="11"/>
      <c r="J17" s="11"/>
      <c r="L17" s="420"/>
      <c r="M17" s="11"/>
      <c r="N17" s="11"/>
      <c r="O17" s="521"/>
      <c r="P17" s="421"/>
    </row>
    <row r="18" spans="1:16" ht="12.75">
      <c r="A18" s="169"/>
      <c r="B18" s="11"/>
      <c r="C18" s="11"/>
      <c r="D18" s="171"/>
      <c r="E18" s="11"/>
      <c r="F18" s="11"/>
      <c r="G18" s="13"/>
      <c r="H18" s="13"/>
      <c r="I18" s="13"/>
      <c r="J18" s="11"/>
      <c r="L18" s="420"/>
      <c r="M18" s="11"/>
      <c r="N18" s="11"/>
      <c r="O18" s="521"/>
      <c r="P18" s="421"/>
    </row>
    <row r="19" spans="1:16" ht="12.75">
      <c r="A19" s="169"/>
      <c r="B19" s="11"/>
      <c r="C19" s="11" t="s">
        <v>496</v>
      </c>
      <c r="D19" s="11"/>
      <c r="E19" s="11"/>
      <c r="F19" s="179" t="s">
        <v>252</v>
      </c>
      <c r="G19" s="170">
        <v>22.17</v>
      </c>
      <c r="H19" s="11" t="s">
        <v>112</v>
      </c>
      <c r="I19" s="11">
        <v>22.39</v>
      </c>
      <c r="J19" s="11"/>
      <c r="L19" s="420"/>
      <c r="M19" s="11"/>
      <c r="N19" s="11"/>
      <c r="O19" s="521"/>
      <c r="P19" s="421"/>
    </row>
    <row r="20" spans="1:16" ht="12.75">
      <c r="A20" s="169"/>
      <c r="B20" s="11"/>
      <c r="C20" s="11" t="s">
        <v>188</v>
      </c>
      <c r="D20" s="560">
        <v>320</v>
      </c>
      <c r="E20" s="11" t="s">
        <v>7</v>
      </c>
      <c r="F20" s="11"/>
      <c r="G20" s="11"/>
      <c r="H20" s="11"/>
      <c r="I20" s="11"/>
      <c r="J20" s="11"/>
      <c r="K20" s="3">
        <f>ROUND(G19*D20,2)</f>
        <v>7094.4</v>
      </c>
      <c r="L20" s="3">
        <f>ROUND(I19*D20,2)</f>
        <v>7164.8</v>
      </c>
      <c r="M20" s="11"/>
      <c r="N20" s="11"/>
      <c r="O20" s="425">
        <f>ROUND((K20+L20)/2,2)</f>
        <v>7129.6</v>
      </c>
      <c r="P20" s="421"/>
    </row>
    <row r="21" spans="1:16" ht="12.75">
      <c r="A21" s="169"/>
      <c r="B21" s="11"/>
      <c r="C21" s="11" t="s">
        <v>8</v>
      </c>
      <c r="D21" s="171">
        <v>0.1</v>
      </c>
      <c r="E21" s="11" t="s">
        <v>9</v>
      </c>
      <c r="F21" s="11"/>
      <c r="G21" s="13"/>
      <c r="H21" s="13"/>
      <c r="I21" s="13"/>
      <c r="J21" s="11"/>
      <c r="K21" s="3">
        <f>ROUND(K20*D21,2)</f>
        <v>709.44</v>
      </c>
      <c r="L21" s="3">
        <f>ROUND(L20*D21,2)</f>
        <v>716.48</v>
      </c>
      <c r="M21" s="11"/>
      <c r="N21" s="11"/>
      <c r="O21" s="425">
        <f>ROUND((K21+L21)/2,2)</f>
        <v>712.96</v>
      </c>
      <c r="P21" s="421"/>
    </row>
    <row r="22" spans="1:16" ht="12.75">
      <c r="A22" s="169"/>
      <c r="B22" s="11"/>
      <c r="C22" s="11"/>
      <c r="D22" s="171">
        <v>0.15</v>
      </c>
      <c r="E22" s="11" t="s">
        <v>10</v>
      </c>
      <c r="F22" s="11"/>
      <c r="G22" s="13"/>
      <c r="H22" s="13"/>
      <c r="I22" s="13"/>
      <c r="J22" s="11"/>
      <c r="K22" s="3">
        <f>ROUND(K20*D22,2)</f>
        <v>1064.16</v>
      </c>
      <c r="L22" s="3">
        <f>ROUND(L20*D22,2)</f>
        <v>1074.72</v>
      </c>
      <c r="M22" s="11"/>
      <c r="N22" s="11"/>
      <c r="O22" s="425">
        <f>ROUND((K22+L22)/2,2)</f>
        <v>1069.44</v>
      </c>
      <c r="P22" s="421"/>
    </row>
    <row r="23" spans="1:16" ht="12.75">
      <c r="A23" s="169"/>
      <c r="B23" s="11"/>
      <c r="C23" s="11"/>
      <c r="D23" s="171"/>
      <c r="E23" s="11"/>
      <c r="F23" s="11"/>
      <c r="G23" s="13"/>
      <c r="H23" s="13"/>
      <c r="I23" s="13"/>
      <c r="J23" s="11"/>
      <c r="L23" s="420"/>
      <c r="M23" s="11"/>
      <c r="N23" s="11"/>
      <c r="O23" s="561"/>
      <c r="P23" s="421"/>
    </row>
    <row r="24" spans="1:16" ht="12.75">
      <c r="A24" s="169"/>
      <c r="B24" s="11"/>
      <c r="C24" s="11"/>
      <c r="D24" s="11"/>
      <c r="E24" s="11"/>
      <c r="F24" s="11"/>
      <c r="G24" s="11"/>
      <c r="H24" s="11"/>
      <c r="I24" s="11"/>
      <c r="J24" s="11"/>
      <c r="L24" s="420"/>
      <c r="M24" s="11"/>
      <c r="N24" s="11"/>
      <c r="O24" s="561"/>
      <c r="P24" s="421"/>
    </row>
    <row r="25" spans="1:16" ht="12.75">
      <c r="A25" s="169" t="s">
        <v>106</v>
      </c>
      <c r="B25" s="11"/>
      <c r="C25" s="7" t="s">
        <v>11</v>
      </c>
      <c r="D25" s="11"/>
      <c r="E25" s="172" t="s">
        <v>12</v>
      </c>
      <c r="F25" s="11"/>
      <c r="G25" s="172" t="s">
        <v>112</v>
      </c>
      <c r="H25" s="11"/>
      <c r="I25" s="11"/>
      <c r="J25" s="11"/>
      <c r="L25" s="420"/>
      <c r="M25" s="11"/>
      <c r="N25" s="11"/>
      <c r="O25" s="561"/>
      <c r="P25" s="421"/>
    </row>
    <row r="26" spans="1:16" ht="12.75">
      <c r="A26" s="169"/>
      <c r="B26" s="11"/>
      <c r="C26" s="11" t="s">
        <v>510</v>
      </c>
      <c r="D26" s="11" t="s">
        <v>511</v>
      </c>
      <c r="E26" s="173">
        <v>50</v>
      </c>
      <c r="F26" s="11"/>
      <c r="G26" s="212">
        <v>3.39</v>
      </c>
      <c r="H26" s="11"/>
      <c r="I26" s="155"/>
      <c r="J26" s="11"/>
      <c r="K26" s="3">
        <f>ROUND(E26*G26,2)</f>
        <v>169.5</v>
      </c>
      <c r="L26" s="3">
        <f>ROUND(E26*G26,2)</f>
        <v>169.5</v>
      </c>
      <c r="M26" s="11"/>
      <c r="N26" s="11"/>
      <c r="O26" s="425">
        <f>ROUND((K26+L26)/2,2)</f>
        <v>169.5</v>
      </c>
      <c r="P26" s="421"/>
    </row>
    <row r="27" spans="1:16" ht="12.75">
      <c r="A27" s="169"/>
      <c r="B27" s="11"/>
      <c r="C27" s="11" t="s">
        <v>352</v>
      </c>
      <c r="D27" s="11" t="s">
        <v>354</v>
      </c>
      <c r="E27" s="173">
        <v>180</v>
      </c>
      <c r="F27" s="11"/>
      <c r="G27" s="212">
        <v>31.29</v>
      </c>
      <c r="H27" s="11"/>
      <c r="I27" s="155"/>
      <c r="J27" s="11"/>
      <c r="K27" s="3">
        <f>ROUND(E27*G27,2)</f>
        <v>5632.2</v>
      </c>
      <c r="L27" s="3">
        <f>ROUND(E27*G27,2)</f>
        <v>5632.2</v>
      </c>
      <c r="M27" s="11"/>
      <c r="N27" s="11"/>
      <c r="O27" s="425">
        <f>ROUND((K27+L27)/2,2)</f>
        <v>5632.2</v>
      </c>
      <c r="P27" s="421"/>
    </row>
    <row r="28" spans="1:16" ht="12.75">
      <c r="A28" s="169"/>
      <c r="B28" s="11"/>
      <c r="C28" s="11"/>
      <c r="D28" s="11"/>
      <c r="E28" s="11"/>
      <c r="F28" s="11"/>
      <c r="G28" s="11"/>
      <c r="H28" s="11"/>
      <c r="I28" s="11"/>
      <c r="J28" s="11"/>
      <c r="L28" s="564"/>
      <c r="M28" s="11"/>
      <c r="N28" s="11"/>
      <c r="O28" s="561"/>
      <c r="P28" s="421"/>
    </row>
    <row r="29" spans="1:16" ht="12.75">
      <c r="A29" s="174" t="s">
        <v>46</v>
      </c>
      <c r="B29" s="11"/>
      <c r="C29" s="11" t="s">
        <v>16</v>
      </c>
      <c r="D29" s="11"/>
      <c r="E29" s="11"/>
      <c r="F29" s="11"/>
      <c r="G29" s="11"/>
      <c r="H29" s="11"/>
      <c r="I29" s="11"/>
      <c r="J29" s="11"/>
      <c r="L29" s="11"/>
      <c r="M29" s="11"/>
      <c r="N29" s="11"/>
      <c r="O29" s="561"/>
      <c r="P29" s="421"/>
    </row>
    <row r="30" spans="1:15" ht="12.75">
      <c r="A30" s="169"/>
      <c r="B30" s="11"/>
      <c r="C30" s="11" t="s">
        <v>336</v>
      </c>
      <c r="D30" s="11"/>
      <c r="E30" s="11"/>
      <c r="F30" s="11"/>
      <c r="G30" s="562">
        <v>38720.89</v>
      </c>
      <c r="H30" s="11" t="s">
        <v>193</v>
      </c>
      <c r="I30" s="213">
        <v>39108.1</v>
      </c>
      <c r="J30" s="11"/>
      <c r="L30" s="11"/>
      <c r="M30" s="11"/>
      <c r="N30" s="11"/>
      <c r="O30" s="563"/>
    </row>
    <row r="31" spans="1:16" ht="12.75">
      <c r="A31" s="169"/>
      <c r="B31" s="11"/>
      <c r="C31" s="11" t="s">
        <v>6</v>
      </c>
      <c r="D31" s="171">
        <v>0.008</v>
      </c>
      <c r="E31" s="11" t="s">
        <v>14</v>
      </c>
      <c r="F31" s="11"/>
      <c r="G31" s="11"/>
      <c r="H31" s="11"/>
      <c r="I31" s="11"/>
      <c r="J31" s="11"/>
      <c r="K31" s="3">
        <f>ROUND(G30*D31,2)</f>
        <v>309.77</v>
      </c>
      <c r="L31" s="3">
        <f>ROUND(I30*D31,2)</f>
        <v>312.86</v>
      </c>
      <c r="M31" s="11"/>
      <c r="N31" s="11"/>
      <c r="O31" s="425">
        <f>ROUND((K31+L31)/2,2)</f>
        <v>311.32</v>
      </c>
      <c r="P31" s="421"/>
    </row>
    <row r="32" spans="1:16" ht="12.75">
      <c r="A32" s="169"/>
      <c r="B32" s="11"/>
      <c r="C32" s="11" t="s">
        <v>8</v>
      </c>
      <c r="D32" s="171">
        <v>0.1</v>
      </c>
      <c r="E32" s="11" t="s">
        <v>9</v>
      </c>
      <c r="F32" s="11"/>
      <c r="G32" s="13"/>
      <c r="H32" s="11"/>
      <c r="I32" s="11"/>
      <c r="J32" s="11"/>
      <c r="K32" s="3">
        <f>ROUND(K31*D32,2)</f>
        <v>30.98</v>
      </c>
      <c r="L32" s="3">
        <f>ROUND(L31*D32,2)</f>
        <v>31.29</v>
      </c>
      <c r="M32" s="11"/>
      <c r="N32" s="11"/>
      <c r="O32" s="425">
        <f>ROUND((K32+L32)/2,2)</f>
        <v>31.14</v>
      </c>
      <c r="P32" s="421"/>
    </row>
    <row r="33" spans="1:16" ht="12.75">
      <c r="A33" s="169"/>
      <c r="B33" s="11"/>
      <c r="C33" s="11"/>
      <c r="D33" s="171">
        <v>0.2</v>
      </c>
      <c r="E33" s="11" t="s">
        <v>10</v>
      </c>
      <c r="F33" s="11"/>
      <c r="G33" s="13"/>
      <c r="H33" s="11"/>
      <c r="I33" s="11"/>
      <c r="J33" s="11"/>
      <c r="K33" s="3">
        <f>ROUND(K31*D33,2)</f>
        <v>61.95</v>
      </c>
      <c r="L33" s="3">
        <f>ROUND(L31*D33,2)</f>
        <v>62.57</v>
      </c>
      <c r="M33" s="11"/>
      <c r="N33" s="11"/>
      <c r="O33" s="425">
        <f>ROUND((K33+L33)/2,2)</f>
        <v>62.26</v>
      </c>
      <c r="P33" s="421"/>
    </row>
    <row r="34" spans="1:15" ht="12.75">
      <c r="A34" s="169"/>
      <c r="B34" s="11"/>
      <c r="C34" s="11"/>
      <c r="D34" s="11"/>
      <c r="E34" s="11"/>
      <c r="F34" s="11"/>
      <c r="G34" s="11"/>
      <c r="H34" s="11"/>
      <c r="I34" s="11"/>
      <c r="J34" s="11"/>
      <c r="L34" s="564"/>
      <c r="M34" s="11"/>
      <c r="N34" s="11"/>
      <c r="O34" s="561"/>
    </row>
    <row r="35" spans="1:16" ht="12.75">
      <c r="A35" s="169" t="s">
        <v>47</v>
      </c>
      <c r="B35" s="11"/>
      <c r="C35" s="11" t="s">
        <v>184</v>
      </c>
      <c r="D35" s="11"/>
      <c r="E35" s="11"/>
      <c r="F35" s="11"/>
      <c r="G35" s="11"/>
      <c r="H35" s="11"/>
      <c r="I35" s="155" t="s">
        <v>191</v>
      </c>
      <c r="J35" s="11"/>
      <c r="K35" s="159">
        <v>258</v>
      </c>
      <c r="L35" s="8">
        <v>260.38</v>
      </c>
      <c r="M35" s="8"/>
      <c r="N35" s="8"/>
      <c r="O35" s="425">
        <v>259.19</v>
      </c>
      <c r="P35" s="421"/>
    </row>
    <row r="36" spans="1:16" ht="12.75">
      <c r="A36" s="169"/>
      <c r="B36" s="11"/>
      <c r="C36" s="14" t="s">
        <v>192</v>
      </c>
      <c r="D36" s="11"/>
      <c r="E36" s="11"/>
      <c r="F36" s="11"/>
      <c r="G36" s="11"/>
      <c r="H36" s="11"/>
      <c r="I36" s="11"/>
      <c r="J36" s="11"/>
      <c r="L36" s="11"/>
      <c r="M36" s="11"/>
      <c r="N36" s="11"/>
      <c r="O36" s="561"/>
      <c r="P36" s="422"/>
    </row>
    <row r="37" spans="1:15" ht="12.75">
      <c r="A37" s="175"/>
      <c r="B37" s="176"/>
      <c r="C37" s="176"/>
      <c r="D37" s="176"/>
      <c r="E37" s="176"/>
      <c r="F37" s="176"/>
      <c r="G37" s="176"/>
      <c r="H37" s="176"/>
      <c r="I37" s="176"/>
      <c r="J37" s="176"/>
      <c r="K37" s="4"/>
      <c r="L37" s="176"/>
      <c r="M37" s="176"/>
      <c r="N37" s="176"/>
      <c r="O37" s="565"/>
    </row>
    <row r="38" spans="1:16" ht="12.75">
      <c r="A38" s="186"/>
      <c r="B38" s="11"/>
      <c r="C38" s="11"/>
      <c r="D38" s="11"/>
      <c r="E38" s="11"/>
      <c r="F38" s="11"/>
      <c r="G38" s="235"/>
      <c r="H38" s="235"/>
      <c r="I38" s="373" t="s">
        <v>18</v>
      </c>
      <c r="J38" s="168"/>
      <c r="K38" s="159">
        <f>SUM(K6:K37)</f>
        <v>20576.52</v>
      </c>
      <c r="L38" s="159">
        <f>SUM(L6:L37)</f>
        <v>20671.46</v>
      </c>
      <c r="O38" s="445">
        <f>SUM(O8:O37)</f>
        <v>20623.999999999996</v>
      </c>
      <c r="P38" s="424"/>
    </row>
    <row r="39" spans="1:15" s="5" customFormat="1" ht="12.75">
      <c r="A39" s="160" t="s">
        <v>19</v>
      </c>
      <c r="B39" s="8" t="s">
        <v>20</v>
      </c>
      <c r="C39" s="8"/>
      <c r="D39" s="8"/>
      <c r="E39" s="8"/>
      <c r="F39" s="8"/>
      <c r="G39" s="8"/>
      <c r="H39" s="8"/>
      <c r="I39" s="8"/>
      <c r="J39" s="8"/>
      <c r="K39" s="3"/>
      <c r="L39" s="8"/>
      <c r="O39" s="203"/>
    </row>
    <row r="40" spans="1:15" ht="12.75">
      <c r="A40" s="169"/>
      <c r="B40" s="11"/>
      <c r="C40" s="11"/>
      <c r="D40" s="11"/>
      <c r="E40" s="11"/>
      <c r="F40" s="11"/>
      <c r="G40" s="11"/>
      <c r="H40" s="11"/>
      <c r="I40" s="11"/>
      <c r="J40" s="11"/>
      <c r="L40" s="11"/>
      <c r="O40" s="188"/>
    </row>
    <row r="41" spans="1:15" s="5" customFormat="1" ht="12.75">
      <c r="A41" s="169" t="s">
        <v>4</v>
      </c>
      <c r="B41" s="8" t="s">
        <v>306</v>
      </c>
      <c r="C41" s="8" t="s">
        <v>21</v>
      </c>
      <c r="D41" s="8"/>
      <c r="E41" s="8"/>
      <c r="F41" s="8"/>
      <c r="G41" s="8"/>
      <c r="H41" s="8"/>
      <c r="I41" s="8"/>
      <c r="J41" s="8"/>
      <c r="K41" s="3"/>
      <c r="L41" s="8"/>
      <c r="O41" s="203"/>
    </row>
    <row r="42" spans="1:15" ht="12.75">
      <c r="A42" s="169"/>
      <c r="B42" s="11" t="s">
        <v>329</v>
      </c>
      <c r="C42" s="11" t="s">
        <v>22</v>
      </c>
      <c r="D42" s="11"/>
      <c r="E42" s="11"/>
      <c r="F42" s="11"/>
      <c r="G42" s="235"/>
      <c r="H42" s="235"/>
      <c r="I42" s="361"/>
      <c r="J42" s="235"/>
      <c r="K42" s="3">
        <v>0</v>
      </c>
      <c r="L42" s="235"/>
      <c r="O42" s="188"/>
    </row>
    <row r="43" spans="1:15" ht="12.75">
      <c r="A43" s="175"/>
      <c r="B43" s="176"/>
      <c r="C43" s="176"/>
      <c r="D43" s="176"/>
      <c r="E43" s="176"/>
      <c r="F43" s="176"/>
      <c r="G43" s="443"/>
      <c r="H43" s="443"/>
      <c r="I43" s="443"/>
      <c r="J43" s="443"/>
      <c r="K43" s="444"/>
      <c r="L43" s="443"/>
      <c r="M43" s="86"/>
      <c r="N43" s="86"/>
      <c r="O43" s="189"/>
    </row>
    <row r="44" spans="1:15" ht="12.75">
      <c r="A44" s="169"/>
      <c r="B44" s="11"/>
      <c r="C44" s="11"/>
      <c r="D44" s="11"/>
      <c r="E44" s="11"/>
      <c r="F44" s="11"/>
      <c r="G44" s="235"/>
      <c r="H44" s="235"/>
      <c r="I44" s="235"/>
      <c r="J44" s="235"/>
      <c r="K44" s="360"/>
      <c r="L44" s="235"/>
      <c r="O44" s="419"/>
    </row>
    <row r="45" spans="1:15" ht="12.75">
      <c r="A45" s="169"/>
      <c r="B45" s="11"/>
      <c r="C45" s="11" t="s">
        <v>405</v>
      </c>
      <c r="D45" s="11"/>
      <c r="E45" s="11"/>
      <c r="F45" s="11"/>
      <c r="G45" s="11"/>
      <c r="H45" s="11"/>
      <c r="I45" s="178"/>
      <c r="J45" s="173" t="s">
        <v>23</v>
      </c>
      <c r="K45" s="3">
        <f>K38-K42</f>
        <v>20576.52</v>
      </c>
      <c r="L45" s="3">
        <f>L38-L42</f>
        <v>20671.46</v>
      </c>
      <c r="O45" s="3">
        <f>O38-O42</f>
        <v>20623.999999999996</v>
      </c>
    </row>
    <row r="46" spans="1:15" ht="12.75">
      <c r="A46" s="169"/>
      <c r="B46" s="11"/>
      <c r="C46" s="11"/>
      <c r="D46" s="237"/>
      <c r="E46" s="11"/>
      <c r="F46" s="11"/>
      <c r="G46" s="11"/>
      <c r="H46" s="11"/>
      <c r="I46" s="11"/>
      <c r="J46" s="173"/>
      <c r="L46" s="11"/>
      <c r="O46" s="419"/>
    </row>
    <row r="47" spans="1:15" ht="12.75">
      <c r="A47" s="169"/>
      <c r="B47" s="179"/>
      <c r="C47" s="11"/>
      <c r="D47" s="11" t="s">
        <v>26</v>
      </c>
      <c r="E47" s="11"/>
      <c r="F47" s="11"/>
      <c r="G47" s="11"/>
      <c r="H47" s="11"/>
      <c r="I47" s="11"/>
      <c r="J47" s="173" t="s">
        <v>25</v>
      </c>
      <c r="K47" s="9">
        <f>ROUND(K45*0.25,2)</f>
        <v>5144.13</v>
      </c>
      <c r="L47" s="9">
        <f>ROUND(L45*0.25,2)</f>
        <v>5167.87</v>
      </c>
      <c r="O47" s="415">
        <f>ROUND(O45*0.25,2)</f>
        <v>5156</v>
      </c>
    </row>
    <row r="48" spans="1:15" ht="12.75">
      <c r="A48" s="169"/>
      <c r="B48" s="11"/>
      <c r="C48" s="11" t="s">
        <v>101</v>
      </c>
      <c r="D48" s="237">
        <v>622</v>
      </c>
      <c r="E48" s="11" t="s">
        <v>102</v>
      </c>
      <c r="F48" s="11"/>
      <c r="G48" s="11"/>
      <c r="H48" s="11"/>
      <c r="I48" s="11"/>
      <c r="J48" s="11" t="s">
        <v>27</v>
      </c>
      <c r="K48" s="3">
        <f>ROUND(K45-K47,2)</f>
        <v>15432.39</v>
      </c>
      <c r="L48" s="3">
        <f>ROUND(L45-L47,2)</f>
        <v>15503.59</v>
      </c>
      <c r="O48" s="414">
        <f>ROUND(O45-O47,2)</f>
        <v>15468</v>
      </c>
    </row>
    <row r="49" spans="1:15" ht="12.75">
      <c r="A49" s="169"/>
      <c r="B49" s="11"/>
      <c r="C49" s="11"/>
      <c r="D49" s="237"/>
      <c r="E49" s="11"/>
      <c r="F49" s="11"/>
      <c r="G49" s="11"/>
      <c r="H49" s="11"/>
      <c r="I49" s="11"/>
      <c r="J49" s="11"/>
      <c r="L49" s="11"/>
      <c r="O49" s="188"/>
    </row>
    <row r="50" spans="1:15" ht="12.75">
      <c r="A50" s="169"/>
      <c r="B50" s="11"/>
      <c r="C50" s="11"/>
      <c r="D50" s="11" t="s">
        <v>296</v>
      </c>
      <c r="E50" s="11"/>
      <c r="F50" s="11"/>
      <c r="G50" s="11"/>
      <c r="H50" s="11"/>
      <c r="I50" s="11"/>
      <c r="J50" s="11" t="s">
        <v>28</v>
      </c>
      <c r="K50" s="3">
        <f>ROUND(K48/D48,2)</f>
        <v>24.81</v>
      </c>
      <c r="L50" s="3">
        <f>ROUND(L48/D48,2)</f>
        <v>24.93</v>
      </c>
      <c r="O50" s="414">
        <f>ROUND(O48/D48,2)</f>
        <v>24.87</v>
      </c>
    </row>
    <row r="51" spans="1:15" ht="12.75">
      <c r="A51" s="169"/>
      <c r="B51" s="11"/>
      <c r="C51" s="11"/>
      <c r="D51" s="11"/>
      <c r="E51" s="11"/>
      <c r="F51" s="11"/>
      <c r="G51" s="11"/>
      <c r="H51" s="11"/>
      <c r="I51" s="11"/>
      <c r="J51" s="173"/>
      <c r="L51" s="11"/>
      <c r="O51" s="188"/>
    </row>
    <row r="52" spans="1:15" ht="12.75">
      <c r="A52" s="169"/>
      <c r="B52" s="179"/>
      <c r="C52" s="11" t="s">
        <v>13</v>
      </c>
      <c r="D52" s="11" t="s">
        <v>24</v>
      </c>
      <c r="E52" s="11"/>
      <c r="F52" s="11"/>
      <c r="G52" s="8">
        <v>565</v>
      </c>
      <c r="H52" s="11"/>
      <c r="I52" s="11"/>
      <c r="J52" s="173" t="s">
        <v>29</v>
      </c>
      <c r="K52" s="3">
        <f>ROUND(G52*K50,2)</f>
        <v>14017.65</v>
      </c>
      <c r="L52" s="3">
        <f>ROUND(G52*L50,2)</f>
        <v>14085.45</v>
      </c>
      <c r="O52" s="414">
        <f>ROUND(G52*O50,2)</f>
        <v>14051.55</v>
      </c>
    </row>
    <row r="53" spans="1:15" ht="12.75">
      <c r="A53" s="169"/>
      <c r="B53" s="179"/>
      <c r="C53" s="11"/>
      <c r="D53" s="11"/>
      <c r="E53" s="11"/>
      <c r="F53" s="11"/>
      <c r="G53" s="11"/>
      <c r="H53" s="11"/>
      <c r="I53" s="11"/>
      <c r="J53" s="173"/>
      <c r="K53" s="9"/>
      <c r="L53" s="11"/>
      <c r="O53" s="188"/>
    </row>
    <row r="54" spans="1:15" ht="12.75">
      <c r="A54" s="169"/>
      <c r="B54" s="179"/>
      <c r="C54" s="11"/>
      <c r="D54" s="11" t="s">
        <v>31</v>
      </c>
      <c r="E54" s="11"/>
      <c r="F54" s="11"/>
      <c r="G54" s="8">
        <f>D48-G52</f>
        <v>57</v>
      </c>
      <c r="H54" s="11"/>
      <c r="I54" s="11"/>
      <c r="J54" s="173" t="s">
        <v>30</v>
      </c>
      <c r="K54" s="3">
        <f>ROUND(G54*K50,2)</f>
        <v>1414.17</v>
      </c>
      <c r="L54" s="3">
        <f>ROUND(G54*L50,2)</f>
        <v>1421.01</v>
      </c>
      <c r="O54" s="414">
        <f>ROUND(G54*O50,2)</f>
        <v>1417.59</v>
      </c>
    </row>
    <row r="55" spans="1:15" ht="12.75">
      <c r="A55" s="169"/>
      <c r="B55" s="179"/>
      <c r="C55" s="11"/>
      <c r="D55" s="11" t="s">
        <v>295</v>
      </c>
      <c r="E55" s="11"/>
      <c r="F55" s="11"/>
      <c r="G55" s="8"/>
      <c r="H55" s="11"/>
      <c r="I55" s="11"/>
      <c r="J55" s="173"/>
      <c r="L55" s="11"/>
      <c r="O55" s="188"/>
    </row>
    <row r="56" spans="1:15" ht="12.75">
      <c r="A56" s="169"/>
      <c r="B56" s="179"/>
      <c r="C56" s="11"/>
      <c r="D56" s="11"/>
      <c r="E56" s="11"/>
      <c r="F56" s="11"/>
      <c r="G56" s="8"/>
      <c r="H56" s="11"/>
      <c r="I56" s="11"/>
      <c r="J56" s="173"/>
      <c r="L56" s="11"/>
      <c r="O56" s="188"/>
    </row>
    <row r="57" spans="1:15" ht="12.75">
      <c r="A57" s="169"/>
      <c r="B57" s="179"/>
      <c r="C57" s="11"/>
      <c r="D57" s="11" t="s">
        <v>300</v>
      </c>
      <c r="E57" s="11"/>
      <c r="F57" s="11"/>
      <c r="G57" s="11"/>
      <c r="H57" s="11"/>
      <c r="I57" s="11"/>
      <c r="J57" s="173" t="s">
        <v>32</v>
      </c>
      <c r="K57" s="180">
        <f>K48-K52-K54</f>
        <v>0.569999999999709</v>
      </c>
      <c r="L57" s="180">
        <f>L48-L52-L54</f>
        <v>-2.870000000000573</v>
      </c>
      <c r="O57" s="416">
        <f>O48-O52-O54</f>
        <v>-1.1399999999991905</v>
      </c>
    </row>
    <row r="58" spans="1:15" ht="12.75">
      <c r="A58" s="169"/>
      <c r="B58" s="11"/>
      <c r="C58" s="11"/>
      <c r="D58" s="11"/>
      <c r="E58" s="11"/>
      <c r="F58" s="11"/>
      <c r="G58" s="11"/>
      <c r="H58" s="11"/>
      <c r="I58" s="11"/>
      <c r="J58" s="173"/>
      <c r="L58" s="11"/>
      <c r="O58" s="188"/>
    </row>
    <row r="59" spans="1:15" ht="12.75">
      <c r="A59" s="175"/>
      <c r="B59" s="176"/>
      <c r="C59" s="176"/>
      <c r="D59" s="176"/>
      <c r="E59" s="176"/>
      <c r="F59" s="176"/>
      <c r="G59" s="176"/>
      <c r="H59" s="176"/>
      <c r="I59" s="176"/>
      <c r="J59" s="181"/>
      <c r="K59" s="4"/>
      <c r="L59" s="176"/>
      <c r="M59" s="86"/>
      <c r="N59" s="86"/>
      <c r="O59" s="189"/>
    </row>
    <row r="60" spans="1:15" ht="12.75">
      <c r="A60" s="160" t="s">
        <v>33</v>
      </c>
      <c r="B60" s="8" t="s">
        <v>34</v>
      </c>
      <c r="C60" s="11"/>
      <c r="D60" s="11"/>
      <c r="E60" s="11"/>
      <c r="F60" s="11"/>
      <c r="G60" s="11"/>
      <c r="H60" s="11"/>
      <c r="I60" s="11"/>
      <c r="J60" s="173"/>
      <c r="L60" s="11"/>
      <c r="O60" s="188"/>
    </row>
    <row r="61" spans="1:15" ht="12.75">
      <c r="A61" s="169"/>
      <c r="B61" s="11"/>
      <c r="C61" s="11"/>
      <c r="D61" s="11"/>
      <c r="E61" s="11"/>
      <c r="F61" s="11"/>
      <c r="G61" s="11"/>
      <c r="H61" s="11"/>
      <c r="I61" s="11"/>
      <c r="J61" s="173"/>
      <c r="L61" s="11"/>
      <c r="O61" s="188"/>
    </row>
    <row r="62" spans="1:15" ht="12.75">
      <c r="A62" s="169"/>
      <c r="B62" s="8" t="s">
        <v>307</v>
      </c>
      <c r="C62" s="8" t="s">
        <v>35</v>
      </c>
      <c r="D62" s="11"/>
      <c r="E62" s="11"/>
      <c r="F62" s="11"/>
      <c r="G62" s="11"/>
      <c r="H62" s="11"/>
      <c r="I62" s="11"/>
      <c r="J62" s="173"/>
      <c r="L62" s="11"/>
      <c r="O62" s="188"/>
    </row>
    <row r="63" spans="1:15" ht="12.75">
      <c r="A63" s="169"/>
      <c r="B63" s="11" t="s">
        <v>330</v>
      </c>
      <c r="C63" s="11"/>
      <c r="D63" s="11"/>
      <c r="E63" s="11"/>
      <c r="F63" s="11"/>
      <c r="G63" s="11"/>
      <c r="H63" s="11"/>
      <c r="I63" s="11"/>
      <c r="J63" s="173"/>
      <c r="L63" s="11"/>
      <c r="O63" s="188"/>
    </row>
    <row r="64" spans="1:15" ht="12.75">
      <c r="A64" s="169"/>
      <c r="B64" s="11"/>
      <c r="C64" s="11"/>
      <c r="D64" s="11"/>
      <c r="E64" s="11"/>
      <c r="F64" s="11"/>
      <c r="G64" s="173" t="s">
        <v>36</v>
      </c>
      <c r="H64" s="11"/>
      <c r="I64" s="173" t="s">
        <v>37</v>
      </c>
      <c r="J64" s="173"/>
      <c r="K64" s="10" t="s">
        <v>38</v>
      </c>
      <c r="L64" s="11"/>
      <c r="O64" s="188"/>
    </row>
    <row r="65" spans="1:15" ht="12.75">
      <c r="A65" s="169"/>
      <c r="B65" s="11"/>
      <c r="C65" s="11"/>
      <c r="D65" s="11"/>
      <c r="E65" s="11"/>
      <c r="F65" s="11"/>
      <c r="G65" s="173" t="s">
        <v>39</v>
      </c>
      <c r="H65" s="11"/>
      <c r="I65" s="173"/>
      <c r="J65" s="173"/>
      <c r="K65" s="10" t="s">
        <v>40</v>
      </c>
      <c r="L65" s="11"/>
      <c r="O65" s="188"/>
    </row>
    <row r="66" spans="1:15" ht="12.75">
      <c r="A66" s="169"/>
      <c r="B66" s="176"/>
      <c r="C66" s="176"/>
      <c r="D66" s="176"/>
      <c r="E66" s="176"/>
      <c r="F66" s="176"/>
      <c r="G66" s="181"/>
      <c r="H66" s="176"/>
      <c r="I66" s="181" t="s">
        <v>100</v>
      </c>
      <c r="J66" s="181"/>
      <c r="K66" s="12" t="s">
        <v>111</v>
      </c>
      <c r="L66" s="11"/>
      <c r="O66" s="189"/>
    </row>
    <row r="67" spans="1:15" ht="12.75">
      <c r="A67" s="175"/>
      <c r="B67" s="176"/>
      <c r="C67" s="176"/>
      <c r="D67" s="176"/>
      <c r="E67" s="176"/>
      <c r="F67" s="176"/>
      <c r="G67" s="176"/>
      <c r="H67" s="176"/>
      <c r="I67" s="176"/>
      <c r="J67" s="181"/>
      <c r="K67" s="4"/>
      <c r="L67" s="220"/>
      <c r="O67" s="81"/>
    </row>
    <row r="68" spans="1:15" ht="12.75">
      <c r="A68" s="436"/>
      <c r="B68" s="437" t="s">
        <v>416</v>
      </c>
      <c r="C68" s="437"/>
      <c r="D68" s="437"/>
      <c r="E68" s="437"/>
      <c r="F68" s="437"/>
      <c r="G68" s="438">
        <f>G52</f>
        <v>565</v>
      </c>
      <c r="H68" s="437"/>
      <c r="I68" s="374">
        <f>K50</f>
        <v>24.81</v>
      </c>
      <c r="J68" s="438"/>
      <c r="K68" s="374">
        <f>ROUND(G68*I68,2)</f>
        <v>14017.65</v>
      </c>
      <c r="L68" s="374"/>
      <c r="M68" s="439"/>
      <c r="N68" s="439"/>
      <c r="O68" s="440"/>
    </row>
    <row r="69" spans="1:15" ht="12.75">
      <c r="A69" s="436"/>
      <c r="B69" s="437" t="s">
        <v>417</v>
      </c>
      <c r="C69" s="437"/>
      <c r="D69" s="437"/>
      <c r="E69" s="437"/>
      <c r="F69" s="437"/>
      <c r="G69" s="438">
        <f>G52</f>
        <v>565</v>
      </c>
      <c r="H69" s="437"/>
      <c r="I69" s="374">
        <f>L50</f>
        <v>24.93</v>
      </c>
      <c r="J69" s="438"/>
      <c r="K69" s="374">
        <f>ROUND(G69*I69,2)</f>
        <v>14085.45</v>
      </c>
      <c r="L69" s="374"/>
      <c r="M69" s="439"/>
      <c r="N69" s="439"/>
      <c r="O69" s="419"/>
    </row>
    <row r="70" spans="1:15" ht="12.75">
      <c r="A70" s="434"/>
      <c r="B70" s="263" t="s">
        <v>418</v>
      </c>
      <c r="C70" s="263"/>
      <c r="D70" s="263"/>
      <c r="E70" s="263"/>
      <c r="F70" s="263"/>
      <c r="G70" s="264">
        <v>565</v>
      </c>
      <c r="H70" s="263"/>
      <c r="I70" s="435">
        <f>O50</f>
        <v>24.87</v>
      </c>
      <c r="J70" s="264"/>
      <c r="K70" s="435">
        <f>ROUND(G70*I70,2)</f>
        <v>14051.55</v>
      </c>
      <c r="L70" s="435"/>
      <c r="M70" s="86"/>
      <c r="N70" s="86"/>
      <c r="O70" s="265"/>
    </row>
    <row r="71" spans="1:12" ht="14.25" customHeight="1">
      <c r="A71" s="11"/>
      <c r="B71" s="11"/>
      <c r="C71" s="11"/>
      <c r="D71" s="11"/>
      <c r="E71" s="11"/>
      <c r="F71" s="11"/>
      <c r="G71" s="173"/>
      <c r="H71" s="11"/>
      <c r="I71" s="212"/>
      <c r="J71" s="173"/>
      <c r="L71" s="11"/>
    </row>
    <row r="72" spans="1:15" ht="12.75">
      <c r="A72" s="85"/>
      <c r="B72" s="176"/>
      <c r="C72" s="176"/>
      <c r="D72" s="176"/>
      <c r="E72" s="176"/>
      <c r="F72" s="176"/>
      <c r="G72" s="176"/>
      <c r="H72" s="176"/>
      <c r="I72" s="176"/>
      <c r="J72" s="176"/>
      <c r="K72" s="4"/>
      <c r="L72" s="176"/>
      <c r="M72" s="86"/>
      <c r="N72" s="86"/>
      <c r="O72" s="189"/>
    </row>
    <row r="73" spans="1:15" ht="12.75">
      <c r="A73" s="156" t="s">
        <v>54</v>
      </c>
      <c r="B73" s="91" t="s">
        <v>372</v>
      </c>
      <c r="C73" s="168"/>
      <c r="D73" s="168"/>
      <c r="E73" s="168"/>
      <c r="F73" s="168"/>
      <c r="G73" s="168"/>
      <c r="H73" s="168"/>
      <c r="I73" s="168"/>
      <c r="J73" s="168"/>
      <c r="K73" s="159"/>
      <c r="L73" s="168"/>
      <c r="O73" s="430"/>
    </row>
    <row r="74" spans="1:15" ht="12.75">
      <c r="A74" s="158"/>
      <c r="B74" s="91" t="s">
        <v>373</v>
      </c>
      <c r="C74" s="168"/>
      <c r="D74" s="168"/>
      <c r="E74" s="168"/>
      <c r="F74" s="168"/>
      <c r="G74" s="168"/>
      <c r="H74" s="168"/>
      <c r="I74" s="168"/>
      <c r="J74" s="168"/>
      <c r="K74" s="159"/>
      <c r="L74" s="168"/>
      <c r="O74" s="190"/>
    </row>
    <row r="75" spans="1:15" ht="12.75">
      <c r="A75" s="153"/>
      <c r="B75" s="8"/>
      <c r="C75" s="11"/>
      <c r="D75" s="11"/>
      <c r="E75" s="11"/>
      <c r="F75" s="11"/>
      <c r="G75" s="11"/>
      <c r="H75" s="11"/>
      <c r="I75" s="11"/>
      <c r="J75" s="11"/>
      <c r="L75" s="11"/>
      <c r="O75" s="188"/>
    </row>
    <row r="76" spans="1:15" ht="12.75">
      <c r="A76" s="160" t="s">
        <v>2</v>
      </c>
      <c r="B76" s="8" t="s">
        <v>3</v>
      </c>
      <c r="C76" s="11"/>
      <c r="D76" s="11"/>
      <c r="E76" s="11"/>
      <c r="F76" s="11"/>
      <c r="G76" s="11"/>
      <c r="H76" s="11"/>
      <c r="I76" s="11"/>
      <c r="J76" s="11"/>
      <c r="L76" s="11"/>
      <c r="M76" s="11"/>
      <c r="N76" s="11"/>
      <c r="O76" s="522"/>
    </row>
    <row r="77" spans="1:15" ht="12.75">
      <c r="A77" s="160"/>
      <c r="B77" s="8"/>
      <c r="C77" s="11"/>
      <c r="D77" s="11"/>
      <c r="E77" s="11"/>
      <c r="F77" s="11"/>
      <c r="G77" s="11"/>
      <c r="H77" s="11"/>
      <c r="I77" s="11"/>
      <c r="J77" s="11"/>
      <c r="L77" s="11"/>
      <c r="M77" s="11"/>
      <c r="N77" s="11"/>
      <c r="O77" s="522"/>
    </row>
    <row r="78" spans="1:15" ht="12.75">
      <c r="A78" s="160" t="s">
        <v>4</v>
      </c>
      <c r="B78" s="8"/>
      <c r="C78" s="8" t="s">
        <v>363</v>
      </c>
      <c r="D78" s="11"/>
      <c r="E78" s="11"/>
      <c r="F78" s="11"/>
      <c r="G78" s="11"/>
      <c r="H78" s="11"/>
      <c r="I78" s="155" t="s">
        <v>191</v>
      </c>
      <c r="J78" s="11"/>
      <c r="K78" s="159">
        <v>5724.86</v>
      </c>
      <c r="L78" s="566">
        <v>5814.32</v>
      </c>
      <c r="M78" s="11"/>
      <c r="N78" s="11"/>
      <c r="O78" s="556">
        <v>5769.59</v>
      </c>
    </row>
    <row r="79" spans="1:15" ht="12.75">
      <c r="A79" s="160"/>
      <c r="B79" s="8"/>
      <c r="C79" s="8"/>
      <c r="D79" s="11"/>
      <c r="E79" s="11"/>
      <c r="F79" s="11"/>
      <c r="G79" s="11"/>
      <c r="H79" s="11"/>
      <c r="I79" s="155"/>
      <c r="J79" s="11"/>
      <c r="K79" s="374"/>
      <c r="L79" s="11"/>
      <c r="M79" s="11"/>
      <c r="N79" s="11"/>
      <c r="O79" s="177"/>
    </row>
    <row r="80" spans="1:15" ht="12.75">
      <c r="A80" s="160" t="s">
        <v>43</v>
      </c>
      <c r="B80" s="8" t="s">
        <v>370</v>
      </c>
      <c r="C80" s="8" t="s">
        <v>371</v>
      </c>
      <c r="D80" s="11"/>
      <c r="E80" s="11"/>
      <c r="F80" s="11"/>
      <c r="G80" s="11"/>
      <c r="H80" s="11"/>
      <c r="I80" s="155" t="s">
        <v>191</v>
      </c>
      <c r="J80" s="11"/>
      <c r="K80" s="374">
        <v>1789.02</v>
      </c>
      <c r="L80" s="567">
        <v>1789.02</v>
      </c>
      <c r="M80" s="11"/>
      <c r="N80" s="11"/>
      <c r="O80" s="425">
        <f>ROUND((K80+L80)/2,2)</f>
        <v>1789.02</v>
      </c>
    </row>
    <row r="81" spans="1:15" ht="12.75">
      <c r="A81" s="169"/>
      <c r="B81" s="11"/>
      <c r="C81" s="11"/>
      <c r="D81" s="11"/>
      <c r="E81" s="11"/>
      <c r="F81" s="11"/>
      <c r="G81" s="11"/>
      <c r="H81" s="11"/>
      <c r="I81" s="11"/>
      <c r="J81" s="11"/>
      <c r="L81" s="213"/>
      <c r="M81" s="11"/>
      <c r="N81" s="11"/>
      <c r="O81" s="177"/>
    </row>
    <row r="82" spans="1:15" ht="12.75">
      <c r="A82" s="160" t="s">
        <v>48</v>
      </c>
      <c r="B82" s="8" t="s">
        <v>308</v>
      </c>
      <c r="C82" s="8" t="s">
        <v>265</v>
      </c>
      <c r="D82" s="11"/>
      <c r="E82" s="11"/>
      <c r="F82" s="11"/>
      <c r="G82" s="11"/>
      <c r="H82" s="11"/>
      <c r="I82" s="155" t="s">
        <v>251</v>
      </c>
      <c r="J82" s="11"/>
      <c r="K82" s="159">
        <v>76962.17</v>
      </c>
      <c r="L82" s="566">
        <v>77227.79</v>
      </c>
      <c r="M82" s="11"/>
      <c r="N82" s="11"/>
      <c r="O82" s="556">
        <v>77094.99</v>
      </c>
    </row>
    <row r="83" spans="1:15" ht="12.75">
      <c r="A83" s="160"/>
      <c r="B83" s="11" t="s">
        <v>331</v>
      </c>
      <c r="C83" s="7"/>
      <c r="D83" s="11"/>
      <c r="E83" s="11"/>
      <c r="F83" s="11"/>
      <c r="G83" s="11"/>
      <c r="H83" s="11"/>
      <c r="I83" s="11"/>
      <c r="J83" s="11"/>
      <c r="L83" s="213"/>
      <c r="M83" s="11"/>
      <c r="N83" s="11"/>
      <c r="O83" s="177"/>
    </row>
    <row r="84" spans="1:15" ht="12.75">
      <c r="A84" s="160" t="s">
        <v>114</v>
      </c>
      <c r="B84" s="8" t="s">
        <v>304</v>
      </c>
      <c r="C84" s="8" t="s">
        <v>115</v>
      </c>
      <c r="D84" s="8"/>
      <c r="E84" s="11"/>
      <c r="F84" s="11"/>
      <c r="G84" s="11"/>
      <c r="H84" s="11"/>
      <c r="I84" s="11"/>
      <c r="J84" s="11"/>
      <c r="L84" s="213"/>
      <c r="M84" s="11"/>
      <c r="N84" s="11"/>
      <c r="O84" s="177"/>
    </row>
    <row r="85" spans="1:15" ht="12.75">
      <c r="A85" s="169"/>
      <c r="B85" s="11"/>
      <c r="C85" s="7" t="s">
        <v>353</v>
      </c>
      <c r="D85" s="11"/>
      <c r="E85" s="11"/>
      <c r="F85" s="11"/>
      <c r="G85" s="11"/>
      <c r="H85" s="11"/>
      <c r="I85" s="11"/>
      <c r="J85" s="11"/>
      <c r="K85" s="6"/>
      <c r="L85" s="428"/>
      <c r="M85" s="11"/>
      <c r="N85" s="11"/>
      <c r="O85" s="177"/>
    </row>
    <row r="86" spans="1:15" ht="12.75">
      <c r="A86" s="169"/>
      <c r="B86" s="11"/>
      <c r="C86" s="7"/>
      <c r="D86" s="11"/>
      <c r="E86" s="11"/>
      <c r="F86" s="11"/>
      <c r="G86" s="11"/>
      <c r="H86" s="11"/>
      <c r="I86" s="11"/>
      <c r="J86" s="11"/>
      <c r="K86" s="6">
        <v>34000</v>
      </c>
      <c r="L86" s="428">
        <v>34000</v>
      </c>
      <c r="M86" s="11"/>
      <c r="N86" s="11"/>
      <c r="O86" s="425">
        <f>ROUND((K86+L86)/2,2)</f>
        <v>34000</v>
      </c>
    </row>
    <row r="87" spans="1:15" ht="12.75">
      <c r="A87" s="160" t="s">
        <v>210</v>
      </c>
      <c r="B87" s="11"/>
      <c r="C87" s="363" t="s">
        <v>5</v>
      </c>
      <c r="D87" s="11"/>
      <c r="E87" s="11"/>
      <c r="F87" s="11"/>
      <c r="G87" s="11"/>
      <c r="H87" s="11"/>
      <c r="I87" s="11"/>
      <c r="J87" s="11"/>
      <c r="K87" s="6"/>
      <c r="L87" s="213"/>
      <c r="M87" s="11"/>
      <c r="N87" s="11"/>
      <c r="O87" s="177"/>
    </row>
    <row r="88" spans="1:15" ht="12.75">
      <c r="A88" s="169"/>
      <c r="B88" s="11"/>
      <c r="C88" s="11"/>
      <c r="D88" s="171"/>
      <c r="E88" s="11"/>
      <c r="F88" s="11"/>
      <c r="G88" s="13"/>
      <c r="H88" s="11"/>
      <c r="I88" s="11"/>
      <c r="J88" s="11"/>
      <c r="L88" s="213"/>
      <c r="M88" s="11"/>
      <c r="N88" s="11"/>
      <c r="O88" s="177"/>
    </row>
    <row r="89" spans="1:15" ht="12.75">
      <c r="A89" s="169" t="s">
        <v>378</v>
      </c>
      <c r="B89" s="11"/>
      <c r="C89" s="7" t="s">
        <v>411</v>
      </c>
      <c r="D89" s="11"/>
      <c r="E89" s="11"/>
      <c r="F89" s="11"/>
      <c r="G89" s="11"/>
      <c r="H89" s="11"/>
      <c r="I89" s="11"/>
      <c r="J89" s="11"/>
      <c r="L89" s="213"/>
      <c r="M89" s="11"/>
      <c r="N89" s="11"/>
      <c r="O89" s="177"/>
    </row>
    <row r="90" spans="1:15" ht="12.75">
      <c r="A90" s="169" t="s">
        <v>379</v>
      </c>
      <c r="B90" s="11"/>
      <c r="C90" s="11" t="s">
        <v>276</v>
      </c>
      <c r="D90" s="11"/>
      <c r="E90" s="11"/>
      <c r="F90" s="11"/>
      <c r="G90" s="11"/>
      <c r="H90" s="11"/>
      <c r="I90" s="11"/>
      <c r="J90" s="11"/>
      <c r="L90" s="213"/>
      <c r="M90" s="11"/>
      <c r="N90" s="11"/>
      <c r="O90" s="177"/>
    </row>
    <row r="91" spans="1:15" ht="12.75">
      <c r="A91" s="169"/>
      <c r="B91" s="11"/>
      <c r="C91" s="11" t="s">
        <v>497</v>
      </c>
      <c r="D91" s="560">
        <v>230</v>
      </c>
      <c r="E91" s="11" t="s">
        <v>7</v>
      </c>
      <c r="F91" s="173" t="s">
        <v>252</v>
      </c>
      <c r="G91" s="170">
        <v>22.17</v>
      </c>
      <c r="H91" s="11" t="s">
        <v>112</v>
      </c>
      <c r="I91" s="11">
        <v>22.39</v>
      </c>
      <c r="J91" s="11"/>
      <c r="K91" s="374">
        <f>ROUND(G91*D91,2)</f>
        <v>5099.1</v>
      </c>
      <c r="L91" s="568">
        <f>ROUND(I91*D91,2)</f>
        <v>5149.7</v>
      </c>
      <c r="M91" s="11"/>
      <c r="N91" s="11"/>
      <c r="O91" s="425">
        <f>ROUND((K91+L91)/2,2)</f>
        <v>5124.4</v>
      </c>
    </row>
    <row r="92" spans="1:15" ht="12.75">
      <c r="A92" s="169"/>
      <c r="B92" s="11"/>
      <c r="C92" s="11" t="s">
        <v>8</v>
      </c>
      <c r="D92" s="171">
        <v>0.1</v>
      </c>
      <c r="E92" s="11" t="s">
        <v>9</v>
      </c>
      <c r="F92" s="11"/>
      <c r="G92" s="13"/>
      <c r="H92" s="11"/>
      <c r="I92" s="11"/>
      <c r="J92" s="11"/>
      <c r="K92" s="374">
        <f>ROUND(K91*D92,2)</f>
        <v>509.91</v>
      </c>
      <c r="L92" s="568">
        <f>ROUND(L91*D92,2)</f>
        <v>514.97</v>
      </c>
      <c r="M92" s="11"/>
      <c r="N92" s="11"/>
      <c r="O92" s="425">
        <f>ROUND((K92+L92)/2,2)</f>
        <v>512.44</v>
      </c>
    </row>
    <row r="93" spans="1:15" ht="12.75">
      <c r="A93" s="169"/>
      <c r="B93" s="11"/>
      <c r="C93" s="11"/>
      <c r="D93" s="171">
        <v>0.15</v>
      </c>
      <c r="E93" s="11" t="s">
        <v>10</v>
      </c>
      <c r="F93" s="11"/>
      <c r="G93" s="13"/>
      <c r="H93" s="11"/>
      <c r="I93" s="11"/>
      <c r="J93" s="11"/>
      <c r="K93" s="374">
        <f>ROUND(K91*D93,2)</f>
        <v>764.87</v>
      </c>
      <c r="L93" s="3">
        <f>ROUND(L91*D93,2)</f>
        <v>772.46</v>
      </c>
      <c r="M93" s="11"/>
      <c r="N93" s="11"/>
      <c r="O93" s="425">
        <f>ROUND((K93+L93)/2,2)</f>
        <v>768.67</v>
      </c>
    </row>
    <row r="94" spans="1:15" ht="12.75">
      <c r="A94" s="169"/>
      <c r="B94" s="11"/>
      <c r="C94" s="11"/>
      <c r="D94" s="11"/>
      <c r="E94" s="11"/>
      <c r="F94" s="11"/>
      <c r="G94" s="11"/>
      <c r="H94" s="11"/>
      <c r="I94" s="11"/>
      <c r="J94" s="11"/>
      <c r="L94" s="11"/>
      <c r="M94" s="11"/>
      <c r="N94" s="11"/>
      <c r="O94" s="177"/>
    </row>
    <row r="95" spans="1:15" ht="12.75">
      <c r="A95" s="169" t="s">
        <v>380</v>
      </c>
      <c r="B95" s="11"/>
      <c r="C95" s="7" t="s">
        <v>11</v>
      </c>
      <c r="D95" s="11"/>
      <c r="E95" s="172" t="s">
        <v>12</v>
      </c>
      <c r="F95" s="11"/>
      <c r="G95" s="172" t="s">
        <v>112</v>
      </c>
      <c r="H95" s="11"/>
      <c r="I95" s="11"/>
      <c r="J95" s="11"/>
      <c r="L95" s="11"/>
      <c r="M95" s="11"/>
      <c r="N95" s="11"/>
      <c r="O95" s="177"/>
    </row>
    <row r="96" spans="1:15" ht="12.75">
      <c r="A96" s="169"/>
      <c r="B96" s="11"/>
      <c r="C96" s="11" t="s">
        <v>352</v>
      </c>
      <c r="D96" s="11" t="s">
        <v>354</v>
      </c>
      <c r="E96" s="183">
        <v>190</v>
      </c>
      <c r="F96" s="11"/>
      <c r="G96" s="212">
        <v>31.29</v>
      </c>
      <c r="H96" s="11"/>
      <c r="I96" s="13"/>
      <c r="J96" s="11"/>
      <c r="K96" s="374">
        <f>ROUND(E96*G96,2)</f>
        <v>5945.1</v>
      </c>
      <c r="L96" s="374">
        <f>ROUND(E96*G96,2)</f>
        <v>5945.1</v>
      </c>
      <c r="M96" s="11"/>
      <c r="N96" s="11"/>
      <c r="O96" s="425">
        <f>ROUND((K96+L96)/2,2)</f>
        <v>5945.1</v>
      </c>
    </row>
    <row r="97" spans="1:15" ht="12.75">
      <c r="A97" s="169"/>
      <c r="B97" s="11"/>
      <c r="C97" s="11" t="s">
        <v>469</v>
      </c>
      <c r="D97" s="11" t="s">
        <v>93</v>
      </c>
      <c r="E97" s="183">
        <v>30</v>
      </c>
      <c r="F97" s="11"/>
      <c r="G97" s="212">
        <v>2.29</v>
      </c>
      <c r="H97" s="11"/>
      <c r="I97" s="13"/>
      <c r="J97" s="11"/>
      <c r="K97" s="374">
        <f>ROUND(E97*G97,2)</f>
        <v>68.7</v>
      </c>
      <c r="L97" s="374">
        <f>ROUND(E97*G97,2)</f>
        <v>68.7</v>
      </c>
      <c r="M97" s="11"/>
      <c r="N97" s="11"/>
      <c r="O97" s="425">
        <f>ROUND((K97+L97)/2,2)</f>
        <v>68.7</v>
      </c>
    </row>
    <row r="98" spans="1:15" ht="12.75">
      <c r="A98" s="169"/>
      <c r="B98" s="11"/>
      <c r="C98" s="11" t="s">
        <v>457</v>
      </c>
      <c r="D98" s="11" t="s">
        <v>458</v>
      </c>
      <c r="E98" s="183">
        <v>10</v>
      </c>
      <c r="F98" s="11"/>
      <c r="G98" s="212">
        <v>7.8</v>
      </c>
      <c r="H98" s="11"/>
      <c r="I98" s="13"/>
      <c r="J98" s="11"/>
      <c r="K98" s="374">
        <f>ROUND(E98*G98,2)</f>
        <v>78</v>
      </c>
      <c r="L98" s="374">
        <f>ROUND(E98*G98,2)</f>
        <v>78</v>
      </c>
      <c r="M98" s="11"/>
      <c r="N98" s="11"/>
      <c r="O98" s="425">
        <f>ROUND((K98+L98)/2,2)</f>
        <v>78</v>
      </c>
    </row>
    <row r="99" spans="1:15" ht="12.75">
      <c r="A99" s="169"/>
      <c r="B99" s="11"/>
      <c r="C99" s="11"/>
      <c r="D99" s="11"/>
      <c r="E99" s="11"/>
      <c r="F99" s="11"/>
      <c r="G99" s="212"/>
      <c r="H99" s="11"/>
      <c r="I99" s="13"/>
      <c r="J99" s="11"/>
      <c r="K99" s="374"/>
      <c r="L99" s="11"/>
      <c r="M99" s="11"/>
      <c r="N99" s="11"/>
      <c r="O99" s="177"/>
    </row>
    <row r="100" spans="1:15" ht="12.75">
      <c r="A100" s="169" t="s">
        <v>473</v>
      </c>
      <c r="B100" s="11"/>
      <c r="C100" s="11" t="s">
        <v>470</v>
      </c>
      <c r="D100" s="11"/>
      <c r="E100" s="11"/>
      <c r="F100" s="11"/>
      <c r="G100" s="212"/>
      <c r="H100" s="11"/>
      <c r="I100" s="13"/>
      <c r="J100" s="11"/>
      <c r="K100" s="374"/>
      <c r="L100" s="11"/>
      <c r="M100" s="11"/>
      <c r="N100" s="11"/>
      <c r="O100" s="177"/>
    </row>
    <row r="101" spans="1:15" ht="12.75">
      <c r="A101" s="169"/>
      <c r="B101" s="11"/>
      <c r="C101" s="11" t="s">
        <v>471</v>
      </c>
      <c r="D101" s="11"/>
      <c r="E101" s="11"/>
      <c r="F101" s="11"/>
      <c r="G101" s="212"/>
      <c r="H101" s="11"/>
      <c r="I101" s="13"/>
      <c r="J101" s="11"/>
      <c r="K101" s="374"/>
      <c r="L101" s="11"/>
      <c r="M101" s="11"/>
      <c r="N101" s="11"/>
      <c r="O101" s="177"/>
    </row>
    <row r="102" spans="1:15" ht="12.75">
      <c r="A102" s="169"/>
      <c r="B102" s="11"/>
      <c r="C102" s="11" t="s">
        <v>472</v>
      </c>
      <c r="D102" s="11"/>
      <c r="E102" s="11"/>
      <c r="F102" s="11"/>
      <c r="G102" s="212"/>
      <c r="H102" s="11"/>
      <c r="I102" s="13"/>
      <c r="J102" s="11"/>
      <c r="K102" s="374"/>
      <c r="L102" s="11"/>
      <c r="M102" s="11"/>
      <c r="N102" s="11"/>
      <c r="O102" s="177"/>
    </row>
    <row r="103" spans="1:15" ht="12.75">
      <c r="A103" s="169"/>
      <c r="B103" s="11"/>
      <c r="C103" s="11"/>
      <c r="D103" s="560">
        <v>50</v>
      </c>
      <c r="E103" s="11" t="s">
        <v>7</v>
      </c>
      <c r="F103" s="173" t="s">
        <v>252</v>
      </c>
      <c r="G103" s="170">
        <v>22.17</v>
      </c>
      <c r="H103" s="11" t="s">
        <v>112</v>
      </c>
      <c r="I103" s="11">
        <v>22.39</v>
      </c>
      <c r="J103" s="11"/>
      <c r="K103" s="374">
        <f>ROUND(G103*D103,2)</f>
        <v>1108.5</v>
      </c>
      <c r="L103" s="568">
        <f>ROUND(I103*D103,2)</f>
        <v>1119.5</v>
      </c>
      <c r="M103" s="11"/>
      <c r="N103" s="11"/>
      <c r="O103" s="425">
        <f>ROUND((K103+L103)/2,2)</f>
        <v>1114</v>
      </c>
    </row>
    <row r="104" spans="1:15" ht="12.75">
      <c r="A104" s="169"/>
      <c r="B104" s="11"/>
      <c r="C104" s="11"/>
      <c r="D104" s="171">
        <v>0.1</v>
      </c>
      <c r="E104" s="11" t="s">
        <v>9</v>
      </c>
      <c r="F104" s="11"/>
      <c r="G104" s="13"/>
      <c r="H104" s="11"/>
      <c r="I104" s="11"/>
      <c r="J104" s="11"/>
      <c r="K104" s="374">
        <f>ROUND(K103*D104,2)</f>
        <v>110.85</v>
      </c>
      <c r="L104" s="568">
        <f>ROUND(L103*D104,2)</f>
        <v>111.95</v>
      </c>
      <c r="M104" s="11"/>
      <c r="N104" s="11"/>
      <c r="O104" s="425">
        <f>ROUND((K104+L104)/2,2)</f>
        <v>111.4</v>
      </c>
    </row>
    <row r="105" spans="1:15" ht="12.75">
      <c r="A105" s="169"/>
      <c r="B105" s="11"/>
      <c r="C105" s="11"/>
      <c r="D105" s="171">
        <v>0.15</v>
      </c>
      <c r="E105" s="11" t="s">
        <v>10</v>
      </c>
      <c r="F105" s="11"/>
      <c r="G105" s="13"/>
      <c r="H105" s="11"/>
      <c r="I105" s="11"/>
      <c r="J105" s="11"/>
      <c r="K105" s="374">
        <f>ROUND(K103*D105,2)</f>
        <v>166.28</v>
      </c>
      <c r="L105" s="3">
        <f>ROUND(L103*D105,2)</f>
        <v>167.93</v>
      </c>
      <c r="M105" s="11"/>
      <c r="N105" s="11"/>
      <c r="O105" s="425">
        <f>ROUND((K105+L105)/2,2)</f>
        <v>167.11</v>
      </c>
    </row>
    <row r="106" spans="1:15" ht="12.75">
      <c r="A106" s="169"/>
      <c r="B106" s="11"/>
      <c r="C106" s="11"/>
      <c r="D106" s="524"/>
      <c r="E106" s="235"/>
      <c r="F106" s="235"/>
      <c r="G106" s="518"/>
      <c r="H106" s="235"/>
      <c r="I106" s="235"/>
      <c r="J106" s="235"/>
      <c r="K106" s="517"/>
      <c r="L106" s="360"/>
      <c r="M106" s="235"/>
      <c r="N106" s="235"/>
      <c r="O106" s="525"/>
    </row>
    <row r="107" spans="1:15" ht="12.75">
      <c r="A107" s="169" t="s">
        <v>474</v>
      </c>
      <c r="B107" s="11"/>
      <c r="C107" s="7" t="s">
        <v>11</v>
      </c>
      <c r="D107" s="11"/>
      <c r="E107" s="172" t="s">
        <v>12</v>
      </c>
      <c r="F107" s="11"/>
      <c r="G107" s="172" t="s">
        <v>112</v>
      </c>
      <c r="H107" s="11"/>
      <c r="I107" s="11"/>
      <c r="J107" s="11"/>
      <c r="K107" s="374"/>
      <c r="L107" s="3"/>
      <c r="M107" s="11"/>
      <c r="N107" s="11"/>
      <c r="O107" s="425"/>
    </row>
    <row r="108" spans="1:15" ht="12.75">
      <c r="A108" s="169"/>
      <c r="B108" s="11"/>
      <c r="C108" s="11" t="s">
        <v>469</v>
      </c>
      <c r="D108" s="171" t="s">
        <v>92</v>
      </c>
      <c r="E108" s="173">
        <v>15</v>
      </c>
      <c r="F108" s="11"/>
      <c r="G108" s="11">
        <v>4.58</v>
      </c>
      <c r="H108" s="11" t="s">
        <v>112</v>
      </c>
      <c r="I108" s="11"/>
      <c r="J108" s="11"/>
      <c r="K108" s="374">
        <f>ROUND(E108*G108,2)</f>
        <v>68.7</v>
      </c>
      <c r="L108" s="374">
        <f>ROUND(E108*G108,2)</f>
        <v>68.7</v>
      </c>
      <c r="M108" s="11"/>
      <c r="N108" s="11"/>
      <c r="O108" s="425">
        <f>ROUND((K108+L108)/2,2)</f>
        <v>68.7</v>
      </c>
    </row>
    <row r="109" spans="1:15" ht="12.75">
      <c r="A109" s="169"/>
      <c r="B109" s="11"/>
      <c r="C109" s="11"/>
      <c r="D109" s="171"/>
      <c r="E109" s="11"/>
      <c r="F109" s="11"/>
      <c r="G109" s="13"/>
      <c r="H109" s="11"/>
      <c r="I109" s="11"/>
      <c r="J109" s="11"/>
      <c r="K109" s="374"/>
      <c r="L109" s="3"/>
      <c r="M109" s="11"/>
      <c r="N109" s="11"/>
      <c r="O109" s="425"/>
    </row>
    <row r="110" spans="1:15" ht="12.75">
      <c r="A110" s="169" t="s">
        <v>381</v>
      </c>
      <c r="B110" s="11"/>
      <c r="C110" s="11" t="s">
        <v>16</v>
      </c>
      <c r="D110" s="569"/>
      <c r="E110" s="11"/>
      <c r="F110" s="11"/>
      <c r="G110" s="11"/>
      <c r="H110" s="11"/>
      <c r="I110" s="178"/>
      <c r="J110" s="11"/>
      <c r="L110" s="11"/>
      <c r="M110" s="11"/>
      <c r="N110" s="11"/>
      <c r="O110" s="177"/>
    </row>
    <row r="111" spans="1:15" ht="12.75">
      <c r="A111" s="169"/>
      <c r="B111" s="11"/>
      <c r="C111" s="11" t="s">
        <v>336</v>
      </c>
      <c r="D111" s="171"/>
      <c r="E111" s="11"/>
      <c r="F111" s="11"/>
      <c r="G111" s="570">
        <v>38720.89</v>
      </c>
      <c r="H111" s="11" t="s">
        <v>193</v>
      </c>
      <c r="I111" s="213">
        <v>39108.1</v>
      </c>
      <c r="J111" s="11"/>
      <c r="L111" s="11"/>
      <c r="M111" s="11"/>
      <c r="N111" s="11"/>
      <c r="O111" s="177"/>
    </row>
    <row r="112" spans="1:15" ht="12.75">
      <c r="A112" s="169"/>
      <c r="B112" s="11"/>
      <c r="C112" s="11" t="s">
        <v>6</v>
      </c>
      <c r="D112" s="171">
        <v>0.3</v>
      </c>
      <c r="E112" s="11" t="s">
        <v>14</v>
      </c>
      <c r="F112" s="11"/>
      <c r="G112" s="13"/>
      <c r="H112" s="11"/>
      <c r="I112" s="11"/>
      <c r="J112" s="11"/>
      <c r="K112" s="3">
        <f>ROUND(G111*D112,2)</f>
        <v>11616.27</v>
      </c>
      <c r="L112" s="3">
        <f>ROUND(I111*D112,2)</f>
        <v>11732.43</v>
      </c>
      <c r="M112" s="11"/>
      <c r="N112" s="11"/>
      <c r="O112" s="425">
        <f>ROUND((K112+L112)/2,2)</f>
        <v>11674.35</v>
      </c>
    </row>
    <row r="113" spans="1:15" ht="12.75">
      <c r="A113" s="169"/>
      <c r="B113" s="11"/>
      <c r="C113" s="11" t="s">
        <v>8</v>
      </c>
      <c r="D113" s="171">
        <v>0.1</v>
      </c>
      <c r="E113" s="11" t="s">
        <v>9</v>
      </c>
      <c r="F113" s="11"/>
      <c r="G113" s="13"/>
      <c r="H113" s="11"/>
      <c r="I113" s="11"/>
      <c r="J113" s="11"/>
      <c r="K113" s="3">
        <f>ROUND(K112*D113,2)</f>
        <v>1161.63</v>
      </c>
      <c r="L113" s="3">
        <f>ROUND(L112*D113,2)</f>
        <v>1173.24</v>
      </c>
      <c r="M113" s="11"/>
      <c r="N113" s="11"/>
      <c r="O113" s="425">
        <f>ROUND((K113+L113)/2,2)</f>
        <v>1167.44</v>
      </c>
    </row>
    <row r="114" spans="1:16" ht="12.75">
      <c r="A114" s="169"/>
      <c r="B114" s="11"/>
      <c r="C114" s="11"/>
      <c r="D114" s="171">
        <v>0.2</v>
      </c>
      <c r="E114" s="11" t="s">
        <v>10</v>
      </c>
      <c r="F114" s="11"/>
      <c r="G114" s="11"/>
      <c r="H114" s="11"/>
      <c r="I114" s="11"/>
      <c r="J114" s="11"/>
      <c r="K114" s="3">
        <f>ROUND(K112*D114,2)</f>
        <v>2323.25</v>
      </c>
      <c r="L114" s="3">
        <f>ROUND(L112*D114,2)</f>
        <v>2346.49</v>
      </c>
      <c r="M114" s="11"/>
      <c r="N114" s="11"/>
      <c r="O114" s="425">
        <f>ROUND((K114+L114)/2,2)</f>
        <v>2334.87</v>
      </c>
      <c r="P114" s="236"/>
    </row>
    <row r="115" spans="1:15" ht="12.75">
      <c r="A115" s="169"/>
      <c r="B115" s="11"/>
      <c r="C115" s="11"/>
      <c r="D115" s="11"/>
      <c r="E115" s="11"/>
      <c r="F115" s="11"/>
      <c r="G115" s="11"/>
      <c r="H115" s="11"/>
      <c r="I115" s="11"/>
      <c r="J115" s="11"/>
      <c r="L115" s="213"/>
      <c r="M115" s="11"/>
      <c r="N115" s="11"/>
      <c r="O115" s="516"/>
    </row>
    <row r="116" spans="1:15" ht="12.75">
      <c r="A116" s="261" t="s">
        <v>382</v>
      </c>
      <c r="B116" s="11"/>
      <c r="C116" s="11" t="s">
        <v>184</v>
      </c>
      <c r="D116" s="11"/>
      <c r="E116" s="11"/>
      <c r="F116" s="11"/>
      <c r="G116" s="11"/>
      <c r="H116" s="11"/>
      <c r="I116" s="155" t="s">
        <v>191</v>
      </c>
      <c r="J116" s="11"/>
      <c r="K116" s="159">
        <v>42036.28</v>
      </c>
      <c r="L116" s="429">
        <v>42424.07</v>
      </c>
      <c r="M116" s="11"/>
      <c r="N116" s="11"/>
      <c r="O116" s="425">
        <v>42230.23</v>
      </c>
    </row>
    <row r="117" spans="1:15" ht="12.75">
      <c r="A117" s="169"/>
      <c r="B117" s="11"/>
      <c r="C117" s="14" t="s">
        <v>192</v>
      </c>
      <c r="D117" s="11"/>
      <c r="E117" s="11"/>
      <c r="F117" s="11"/>
      <c r="G117" s="11"/>
      <c r="H117" s="11"/>
      <c r="I117" s="11"/>
      <c r="J117" s="11"/>
      <c r="L117" s="11"/>
      <c r="M117" s="11"/>
      <c r="N117" s="11"/>
      <c r="O117" s="522"/>
    </row>
    <row r="118" spans="1:15" ht="12.75">
      <c r="A118" s="85"/>
      <c r="B118" s="176"/>
      <c r="C118" s="176"/>
      <c r="D118" s="222"/>
      <c r="E118" s="176"/>
      <c r="F118" s="176"/>
      <c r="G118" s="214"/>
      <c r="H118" s="176"/>
      <c r="I118" s="176"/>
      <c r="J118" s="176"/>
      <c r="K118" s="4"/>
      <c r="L118" s="176"/>
      <c r="M118" s="86"/>
      <c r="N118" s="86"/>
      <c r="O118" s="189"/>
    </row>
    <row r="119" spans="1:15" ht="12.75">
      <c r="A119" s="84"/>
      <c r="B119" s="11"/>
      <c r="C119" s="11"/>
      <c r="D119" s="217"/>
      <c r="E119" s="11"/>
      <c r="F119" s="11"/>
      <c r="G119" s="13"/>
      <c r="H119" s="11"/>
      <c r="I119" s="11"/>
      <c r="J119" s="11"/>
      <c r="L119" s="11"/>
      <c r="O119" s="188"/>
    </row>
    <row r="120" spans="1:15" ht="12.75">
      <c r="A120" s="84"/>
      <c r="B120" s="11"/>
      <c r="C120" s="11"/>
      <c r="D120" s="11"/>
      <c r="E120" s="11"/>
      <c r="F120" s="11"/>
      <c r="G120" s="11"/>
      <c r="H120" s="11"/>
      <c r="I120" s="168" t="s">
        <v>18</v>
      </c>
      <c r="J120" s="168"/>
      <c r="K120" s="374">
        <f>SUM(K76:K118)</f>
        <v>189533.49000000002</v>
      </c>
      <c r="L120" s="374">
        <f>SUM(L76:L118)</f>
        <v>190504.37</v>
      </c>
      <c r="O120" s="427">
        <f>ROUND((K120+L120)/2,2)</f>
        <v>190018.93</v>
      </c>
    </row>
    <row r="121" spans="1:15" ht="12.75">
      <c r="A121" s="160" t="s">
        <v>19</v>
      </c>
      <c r="B121" s="8" t="s">
        <v>20</v>
      </c>
      <c r="C121" s="11"/>
      <c r="D121" s="11"/>
      <c r="E121" s="11"/>
      <c r="F121" s="11"/>
      <c r="G121" s="11"/>
      <c r="H121" s="11"/>
      <c r="I121" s="11"/>
      <c r="J121" s="11"/>
      <c r="L121" s="11"/>
      <c r="O121" s="188"/>
    </row>
    <row r="122" spans="1:15" ht="12.75">
      <c r="A122" s="84"/>
      <c r="B122" s="11"/>
      <c r="C122" s="11"/>
      <c r="D122" s="11"/>
      <c r="E122" s="11"/>
      <c r="F122" s="11"/>
      <c r="G122" s="11"/>
      <c r="H122" s="173"/>
      <c r="I122" s="215"/>
      <c r="J122" s="11"/>
      <c r="L122" s="11"/>
      <c r="O122" s="188"/>
    </row>
    <row r="123" spans="1:15" ht="12.75">
      <c r="A123" s="84" t="s">
        <v>4</v>
      </c>
      <c r="B123" s="11" t="s">
        <v>306</v>
      </c>
      <c r="C123" s="11" t="s">
        <v>21</v>
      </c>
      <c r="D123" s="179"/>
      <c r="E123" s="11"/>
      <c r="F123" s="11"/>
      <c r="G123" s="11"/>
      <c r="H123" s="173"/>
      <c r="I123" s="11"/>
      <c r="J123" s="11"/>
      <c r="L123" s="11"/>
      <c r="O123" s="188"/>
    </row>
    <row r="124" spans="1:15" ht="12.75">
      <c r="A124" s="84"/>
      <c r="B124" s="11" t="s">
        <v>329</v>
      </c>
      <c r="C124" s="11" t="s">
        <v>22</v>
      </c>
      <c r="D124" s="171"/>
      <c r="E124" s="11"/>
      <c r="F124" s="11"/>
      <c r="G124" s="11"/>
      <c r="H124" s="11"/>
      <c r="I124" s="11"/>
      <c r="J124" s="11"/>
      <c r="K124" s="3">
        <v>0</v>
      </c>
      <c r="L124" s="11"/>
      <c r="O124" s="188"/>
    </row>
    <row r="125" spans="1:15" ht="12.75">
      <c r="A125" s="85"/>
      <c r="B125" s="176"/>
      <c r="C125" s="176"/>
      <c r="D125" s="223"/>
      <c r="E125" s="176"/>
      <c r="F125" s="176"/>
      <c r="G125" s="214"/>
      <c r="H125" s="181"/>
      <c r="I125" s="176"/>
      <c r="J125" s="176"/>
      <c r="K125" s="4"/>
      <c r="L125" s="176"/>
      <c r="O125" s="189"/>
    </row>
    <row r="126" spans="1:15" ht="12.75">
      <c r="A126" s="200"/>
      <c r="B126" s="220"/>
      <c r="C126" s="220"/>
      <c r="D126" s="266"/>
      <c r="E126" s="220"/>
      <c r="F126" s="220"/>
      <c r="G126" s="229"/>
      <c r="H126" s="221"/>
      <c r="I126" s="220"/>
      <c r="J126" s="220"/>
      <c r="K126" s="154"/>
      <c r="L126" s="220"/>
      <c r="O126" s="81"/>
    </row>
    <row r="127" spans="1:15" ht="12.75">
      <c r="A127" s="571"/>
      <c r="B127" s="93"/>
      <c r="C127" s="93" t="s">
        <v>419</v>
      </c>
      <c r="D127" s="93"/>
      <c r="E127" s="93"/>
      <c r="F127" s="93"/>
      <c r="G127" s="93"/>
      <c r="H127" s="267"/>
      <c r="I127" s="572"/>
      <c r="J127" s="93"/>
      <c r="K127" s="441">
        <f>K120-K124</f>
        <v>189533.49000000002</v>
      </c>
      <c r="L127" s="441">
        <f>L120-L124</f>
        <v>190504.37</v>
      </c>
      <c r="O127" s="426">
        <f>O120-O124</f>
        <v>190018.93</v>
      </c>
    </row>
    <row r="128" spans="1:15" ht="12.75">
      <c r="A128" s="85"/>
      <c r="B128" s="176"/>
      <c r="C128" s="176"/>
      <c r="D128" s="176"/>
      <c r="E128" s="176"/>
      <c r="F128" s="176"/>
      <c r="G128" s="176"/>
      <c r="H128" s="176"/>
      <c r="I128" s="176"/>
      <c r="J128" s="86"/>
      <c r="K128" s="4"/>
      <c r="L128" s="86"/>
      <c r="M128" s="86"/>
      <c r="N128" s="86"/>
      <c r="O128" s="189"/>
    </row>
    <row r="129" spans="1:15" ht="12.75">
      <c r="A129" s="84"/>
      <c r="B129" s="11"/>
      <c r="C129" s="11"/>
      <c r="D129" s="171"/>
      <c r="E129" s="11"/>
      <c r="F129" s="11"/>
      <c r="G129" s="13"/>
      <c r="H129" s="173"/>
      <c r="I129" s="11"/>
      <c r="O129" s="188"/>
    </row>
    <row r="130" spans="1:15" ht="12.75">
      <c r="A130" s="158"/>
      <c r="B130" s="168"/>
      <c r="C130" s="168" t="s">
        <v>420</v>
      </c>
      <c r="D130" s="168"/>
      <c r="E130" s="168"/>
      <c r="F130" s="168"/>
      <c r="G130" s="168"/>
      <c r="H130" s="183"/>
      <c r="I130" s="216"/>
      <c r="J130" s="92"/>
      <c r="K130" s="374">
        <f>K127</f>
        <v>189533.49000000002</v>
      </c>
      <c r="L130" s="374">
        <f>L127</f>
        <v>190504.37</v>
      </c>
      <c r="O130" s="399">
        <f>O127</f>
        <v>190018.93</v>
      </c>
    </row>
    <row r="131" spans="1:15" ht="12.75">
      <c r="A131" s="85"/>
      <c r="B131" s="176"/>
      <c r="C131" s="176"/>
      <c r="D131" s="176"/>
      <c r="E131" s="176"/>
      <c r="F131" s="176"/>
      <c r="G131" s="176"/>
      <c r="H131" s="176"/>
      <c r="I131" s="176"/>
      <c r="J131" s="86"/>
      <c r="K131" s="4"/>
      <c r="L131" s="86"/>
      <c r="O131" s="189"/>
    </row>
    <row r="132" spans="1:15" ht="12.75">
      <c r="A132" s="84"/>
      <c r="B132" s="11"/>
      <c r="C132" s="11"/>
      <c r="D132" s="11"/>
      <c r="E132" s="11"/>
      <c r="F132" s="11"/>
      <c r="G132" s="11"/>
      <c r="H132" s="11"/>
      <c r="I132" s="11"/>
      <c r="O132" s="188"/>
    </row>
    <row r="133" spans="1:15" ht="12.75">
      <c r="A133" s="84"/>
      <c r="B133" s="11"/>
      <c r="C133" s="363" t="s">
        <v>421</v>
      </c>
      <c r="D133" s="11"/>
      <c r="E133" s="11"/>
      <c r="F133" s="11"/>
      <c r="G133" s="11"/>
      <c r="H133" s="11"/>
      <c r="I133" s="11"/>
      <c r="O133" s="188"/>
    </row>
    <row r="134" spans="1:15" ht="12.75">
      <c r="A134" s="84"/>
      <c r="B134" s="11"/>
      <c r="C134" s="11"/>
      <c r="D134" s="171"/>
      <c r="E134" s="11"/>
      <c r="F134" s="11"/>
      <c r="G134" s="11"/>
      <c r="H134" s="11"/>
      <c r="I134" s="11"/>
      <c r="O134" s="188"/>
    </row>
    <row r="135" spans="1:15" ht="12.75">
      <c r="A135" s="84"/>
      <c r="B135" s="11"/>
      <c r="C135" s="11" t="s">
        <v>61</v>
      </c>
      <c r="D135" s="171"/>
      <c r="E135" s="11"/>
      <c r="F135" s="11"/>
      <c r="G135" s="13"/>
      <c r="H135" s="11"/>
      <c r="I135" s="11"/>
      <c r="O135" s="188"/>
    </row>
    <row r="136" spans="1:15" ht="12.75">
      <c r="A136" s="84"/>
      <c r="B136" s="11"/>
      <c r="C136" s="11"/>
      <c r="D136" s="171"/>
      <c r="E136" s="11"/>
      <c r="F136" s="11"/>
      <c r="G136" s="13"/>
      <c r="H136" s="11"/>
      <c r="I136" s="11"/>
      <c r="O136" s="188"/>
    </row>
    <row r="137" spans="1:15" ht="12.75">
      <c r="A137" s="84"/>
      <c r="B137" s="11"/>
      <c r="C137" s="14" t="s">
        <v>62</v>
      </c>
      <c r="D137" s="226">
        <v>50399</v>
      </c>
      <c r="E137" s="14" t="s">
        <v>103</v>
      </c>
      <c r="F137" s="14">
        <v>2</v>
      </c>
      <c r="G137" s="14" t="s">
        <v>461</v>
      </c>
      <c r="H137" s="14"/>
      <c r="I137" s="14"/>
      <c r="J137" s="14" t="s">
        <v>63</v>
      </c>
      <c r="K137" s="198">
        <f>ROUND(D137*F137,0)</f>
        <v>100798</v>
      </c>
      <c r="L137" s="226"/>
      <c r="O137" s="188"/>
    </row>
    <row r="138" spans="1:15" ht="12.75">
      <c r="A138" s="84"/>
      <c r="B138" s="11"/>
      <c r="C138" s="14" t="s">
        <v>65</v>
      </c>
      <c r="D138" s="226">
        <v>50274</v>
      </c>
      <c r="E138" s="15" t="s">
        <v>103</v>
      </c>
      <c r="F138" s="14">
        <v>1</v>
      </c>
      <c r="G138" s="18" t="s">
        <v>463</v>
      </c>
      <c r="H138" s="14"/>
      <c r="I138" s="14"/>
      <c r="J138" s="14" t="s">
        <v>63</v>
      </c>
      <c r="K138" s="199">
        <f>ROUND(D138*F138,0)</f>
        <v>50274</v>
      </c>
      <c r="L138" s="199"/>
      <c r="O138" s="188"/>
    </row>
    <row r="139" spans="1:15" ht="12.75">
      <c r="A139" s="84"/>
      <c r="B139" s="11"/>
      <c r="C139" s="14"/>
      <c r="D139" s="14"/>
      <c r="E139" s="15"/>
      <c r="F139" s="15"/>
      <c r="G139" s="16"/>
      <c r="H139" s="14"/>
      <c r="I139" s="17" t="s">
        <v>66</v>
      </c>
      <c r="J139" s="14" t="s">
        <v>63</v>
      </c>
      <c r="K139" s="198">
        <f>SUM(K137:K138)</f>
        <v>151072</v>
      </c>
      <c r="L139" s="226"/>
      <c r="O139" s="188"/>
    </row>
    <row r="140" spans="1:15" ht="12.75">
      <c r="A140" s="84"/>
      <c r="B140" s="11"/>
      <c r="C140" s="11"/>
      <c r="D140" s="171"/>
      <c r="E140" s="11"/>
      <c r="F140" s="11"/>
      <c r="G140" s="11"/>
      <c r="H140" s="11"/>
      <c r="I140" s="11"/>
      <c r="K140" s="170"/>
      <c r="L140" s="14"/>
      <c r="O140" s="188"/>
    </row>
    <row r="141" spans="1:15" ht="12.75">
      <c r="A141" s="84"/>
      <c r="B141" s="11"/>
      <c r="C141" s="14" t="s">
        <v>67</v>
      </c>
      <c r="D141" s="14"/>
      <c r="E141" s="14"/>
      <c r="F141" s="11"/>
      <c r="G141" s="191">
        <f>K130</f>
        <v>189533.49000000002</v>
      </c>
      <c r="H141" s="14" t="s">
        <v>100</v>
      </c>
      <c r="I141" s="14"/>
      <c r="K141" s="17"/>
      <c r="L141" s="14"/>
      <c r="O141" s="188"/>
    </row>
    <row r="142" spans="1:15" ht="12.75">
      <c r="A142" s="84"/>
      <c r="B142" s="11"/>
      <c r="C142" s="14"/>
      <c r="D142" s="14"/>
      <c r="E142" s="14"/>
      <c r="F142" s="11"/>
      <c r="G142" s="224">
        <f>K139</f>
        <v>151072</v>
      </c>
      <c r="H142" s="14" t="s">
        <v>64</v>
      </c>
      <c r="I142" s="15" t="s">
        <v>68</v>
      </c>
      <c r="K142" s="197">
        <f>G141/G142</f>
        <v>1.2545904601779285</v>
      </c>
      <c r="L142" s="14"/>
      <c r="O142" s="188"/>
    </row>
    <row r="143" spans="1:15" ht="12.75">
      <c r="A143" s="84"/>
      <c r="B143" s="11"/>
      <c r="C143" s="218" t="s">
        <v>69</v>
      </c>
      <c r="D143" s="14"/>
      <c r="E143" s="225"/>
      <c r="F143" s="11"/>
      <c r="G143" s="14"/>
      <c r="H143" s="14"/>
      <c r="I143" s="14"/>
      <c r="K143" s="192" t="s">
        <v>70</v>
      </c>
      <c r="L143" s="14"/>
      <c r="O143" s="188"/>
    </row>
    <row r="144" spans="1:15" ht="12.75">
      <c r="A144" s="84"/>
      <c r="B144" s="11"/>
      <c r="C144" s="226"/>
      <c r="D144" s="11"/>
      <c r="E144" s="11"/>
      <c r="F144" s="11"/>
      <c r="G144" s="11"/>
      <c r="H144" s="11"/>
      <c r="I144" s="11"/>
      <c r="K144" s="170"/>
      <c r="L144" s="14"/>
      <c r="O144" s="188"/>
    </row>
    <row r="145" spans="1:15" ht="12.75">
      <c r="A145" s="84"/>
      <c r="B145" s="11"/>
      <c r="C145" s="14" t="s">
        <v>6</v>
      </c>
      <c r="D145" s="14" t="s">
        <v>62</v>
      </c>
      <c r="E145" s="573">
        <v>50399</v>
      </c>
      <c r="F145" s="15" t="s">
        <v>71</v>
      </c>
      <c r="G145" s="227">
        <f>K142</f>
        <v>1.2545904601779285</v>
      </c>
      <c r="H145" s="15" t="s">
        <v>71</v>
      </c>
      <c r="I145" s="15">
        <v>2</v>
      </c>
      <c r="J145" s="97" t="s">
        <v>63</v>
      </c>
      <c r="K145" s="17">
        <f>ROUND(E145*G145*I145,2)</f>
        <v>126460.21</v>
      </c>
      <c r="L145" s="14"/>
      <c r="O145" s="188"/>
    </row>
    <row r="146" spans="1:15" ht="12.75">
      <c r="A146" s="84"/>
      <c r="B146" s="11"/>
      <c r="C146" s="14"/>
      <c r="D146" s="14" t="s">
        <v>65</v>
      </c>
      <c r="E146" s="573">
        <v>50274</v>
      </c>
      <c r="F146" s="15" t="s">
        <v>72</v>
      </c>
      <c r="G146" s="227">
        <f>K142</f>
        <v>1.2545904601779285</v>
      </c>
      <c r="H146" s="15" t="s">
        <v>71</v>
      </c>
      <c r="I146" s="15">
        <v>1</v>
      </c>
      <c r="J146" s="97" t="s">
        <v>63</v>
      </c>
      <c r="K146" s="191">
        <f>ROUND(E146*G146*I146,2)</f>
        <v>63073.28</v>
      </c>
      <c r="L146" s="14"/>
      <c r="O146" s="188"/>
    </row>
    <row r="147" spans="1:15" ht="12.75">
      <c r="A147" s="84"/>
      <c r="B147" s="11"/>
      <c r="C147" s="14" t="s">
        <v>73</v>
      </c>
      <c r="D147" s="14"/>
      <c r="E147" s="14"/>
      <c r="F147" s="14"/>
      <c r="G147" s="14"/>
      <c r="H147" s="14"/>
      <c r="I147" s="14"/>
      <c r="J147" s="66"/>
      <c r="K147" s="17">
        <f>SUM(K145:K146)</f>
        <v>189533.49</v>
      </c>
      <c r="L147" s="14"/>
      <c r="O147" s="188"/>
    </row>
    <row r="148" spans="1:15" ht="12.75">
      <c r="A148" s="84"/>
      <c r="B148" s="11"/>
      <c r="C148" s="11"/>
      <c r="D148" s="11"/>
      <c r="E148" s="11"/>
      <c r="F148" s="11"/>
      <c r="G148" s="11"/>
      <c r="H148" s="11"/>
      <c r="I148" s="11"/>
      <c r="K148" s="170"/>
      <c r="O148" s="188"/>
    </row>
    <row r="149" spans="1:15" ht="12.75">
      <c r="A149" s="84"/>
      <c r="B149" s="11"/>
      <c r="C149" s="11"/>
      <c r="D149" s="11"/>
      <c r="E149" s="11"/>
      <c r="F149" s="11"/>
      <c r="G149" s="11"/>
      <c r="H149" s="11"/>
      <c r="I149" s="11"/>
      <c r="O149" s="188"/>
    </row>
    <row r="150" spans="1:15" ht="12.75">
      <c r="A150" s="84"/>
      <c r="B150" s="11"/>
      <c r="C150" s="11" t="s">
        <v>74</v>
      </c>
      <c r="D150" s="11"/>
      <c r="E150" s="11"/>
      <c r="F150" s="11"/>
      <c r="G150" s="11"/>
      <c r="H150" s="11"/>
      <c r="I150" s="11"/>
      <c r="K150" s="3">
        <f>K147</f>
        <v>189533.49</v>
      </c>
      <c r="O150" s="188"/>
    </row>
    <row r="151" spans="1:15" ht="12.75">
      <c r="A151" s="84"/>
      <c r="B151" s="11"/>
      <c r="C151" s="11" t="s">
        <v>422</v>
      </c>
      <c r="D151" s="11"/>
      <c r="E151" s="11"/>
      <c r="F151" s="11"/>
      <c r="G151" s="11"/>
      <c r="H151" s="11"/>
      <c r="I151" s="11"/>
      <c r="J151" s="11"/>
      <c r="K151" s="9">
        <f>K127</f>
        <v>189533.49000000002</v>
      </c>
      <c r="L151" s="11"/>
      <c r="O151" s="188"/>
    </row>
    <row r="152" spans="1:15" ht="12.75">
      <c r="A152" s="84"/>
      <c r="B152" s="11"/>
      <c r="C152" s="11" t="s">
        <v>75</v>
      </c>
      <c r="D152" s="11"/>
      <c r="E152" s="11"/>
      <c r="F152" s="11"/>
      <c r="G152" s="11"/>
      <c r="H152" s="11"/>
      <c r="I152" s="11"/>
      <c r="J152" s="11"/>
      <c r="K152" s="3">
        <f>K151-K147</f>
        <v>0</v>
      </c>
      <c r="L152" s="11"/>
      <c r="O152" s="188"/>
    </row>
    <row r="153" spans="1:15" ht="12.75">
      <c r="A153" s="84"/>
      <c r="B153" s="11"/>
      <c r="C153" s="176"/>
      <c r="D153" s="176"/>
      <c r="E153" s="176"/>
      <c r="F153" s="176"/>
      <c r="G153" s="176"/>
      <c r="H153" s="176"/>
      <c r="I153" s="176"/>
      <c r="J153" s="176"/>
      <c r="K153" s="193"/>
      <c r="L153" s="176"/>
      <c r="M153" s="86"/>
      <c r="N153" s="86"/>
      <c r="O153" s="189"/>
    </row>
    <row r="154" spans="1:15" ht="12.75">
      <c r="A154" s="84"/>
      <c r="B154" s="11"/>
      <c r="C154" s="11"/>
      <c r="D154" s="11"/>
      <c r="E154" s="11"/>
      <c r="F154" s="11"/>
      <c r="G154" s="11"/>
      <c r="H154" s="11"/>
      <c r="I154" s="11"/>
      <c r="J154" s="173"/>
      <c r="L154" s="11"/>
      <c r="O154" s="188"/>
    </row>
    <row r="155" spans="1:15" ht="12.75">
      <c r="A155" s="84"/>
      <c r="B155" s="179"/>
      <c r="C155" s="11" t="s">
        <v>423</v>
      </c>
      <c r="D155" s="11"/>
      <c r="E155" s="11"/>
      <c r="F155" s="11"/>
      <c r="G155" s="11"/>
      <c r="H155" s="11"/>
      <c r="I155" s="218"/>
      <c r="J155" s="173" t="s">
        <v>23</v>
      </c>
      <c r="K155" s="3">
        <f>K145</f>
        <v>126460.21</v>
      </c>
      <c r="L155" s="11"/>
      <c r="O155" s="188"/>
    </row>
    <row r="156" spans="1:15" ht="12.75">
      <c r="A156" s="84"/>
      <c r="B156" s="179"/>
      <c r="C156" s="11"/>
      <c r="D156" s="11"/>
      <c r="E156" s="11"/>
      <c r="F156" s="11"/>
      <c r="G156" s="11"/>
      <c r="H156" s="11"/>
      <c r="I156" s="218"/>
      <c r="J156" s="173"/>
      <c r="L156" s="11"/>
      <c r="O156" s="188"/>
    </row>
    <row r="157" spans="1:15" ht="12.75">
      <c r="A157" s="84"/>
      <c r="B157" s="179"/>
      <c r="C157" s="11"/>
      <c r="D157" s="11" t="s">
        <v>26</v>
      </c>
      <c r="E157" s="11"/>
      <c r="F157" s="11"/>
      <c r="G157" s="11"/>
      <c r="H157" s="11"/>
      <c r="I157" s="11"/>
      <c r="J157" s="173" t="s">
        <v>25</v>
      </c>
      <c r="K157" s="9">
        <f>ROUND(K155*0.25,2)</f>
        <v>31615.05</v>
      </c>
      <c r="L157" s="11"/>
      <c r="O157" s="188"/>
    </row>
    <row r="158" spans="1:15" ht="12.75">
      <c r="A158" s="84"/>
      <c r="B158" s="11"/>
      <c r="C158" s="11" t="s">
        <v>76</v>
      </c>
      <c r="D158" s="238">
        <v>50399</v>
      </c>
      <c r="E158" s="11" t="s">
        <v>77</v>
      </c>
      <c r="F158" s="11"/>
      <c r="G158" s="11"/>
      <c r="H158" s="11"/>
      <c r="I158" s="11"/>
      <c r="J158" s="173" t="s">
        <v>27</v>
      </c>
      <c r="K158" s="3">
        <f>ROUND(K155-K157,2)</f>
        <v>94845.16</v>
      </c>
      <c r="L158" s="11"/>
      <c r="O158" s="188"/>
    </row>
    <row r="159" spans="1:15" ht="12.75">
      <c r="A159" s="84"/>
      <c r="B159" s="11"/>
      <c r="C159" s="11"/>
      <c r="D159" s="238"/>
      <c r="E159" s="11"/>
      <c r="F159" s="11"/>
      <c r="G159" s="11"/>
      <c r="H159" s="11"/>
      <c r="I159" s="11"/>
      <c r="J159" s="173"/>
      <c r="L159" s="11"/>
      <c r="O159" s="188"/>
    </row>
    <row r="160" spans="1:15" ht="12.75">
      <c r="A160" s="84"/>
      <c r="B160" s="11"/>
      <c r="C160" s="11"/>
      <c r="D160" s="11" t="s">
        <v>296</v>
      </c>
      <c r="E160" s="11"/>
      <c r="F160" s="11"/>
      <c r="G160" s="11"/>
      <c r="H160" s="11"/>
      <c r="I160" s="11"/>
      <c r="J160" s="173" t="s">
        <v>28</v>
      </c>
      <c r="K160" s="3">
        <f>ROUND(K158/D158,2)</f>
        <v>1.88</v>
      </c>
      <c r="L160" s="11"/>
      <c r="O160" s="188"/>
    </row>
    <row r="161" spans="1:15" ht="12.75">
      <c r="A161" s="84"/>
      <c r="B161" s="11"/>
      <c r="C161" s="11"/>
      <c r="D161" s="11"/>
      <c r="E161" s="11"/>
      <c r="F161" s="11"/>
      <c r="G161" s="11"/>
      <c r="H161" s="11"/>
      <c r="I161" s="11"/>
      <c r="J161" s="173"/>
      <c r="L161" s="11"/>
      <c r="O161" s="188"/>
    </row>
    <row r="162" spans="1:15" ht="12.75">
      <c r="A162" s="84"/>
      <c r="B162" s="179"/>
      <c r="C162" s="11" t="s">
        <v>13</v>
      </c>
      <c r="D162" s="11" t="s">
        <v>24</v>
      </c>
      <c r="E162" s="11"/>
      <c r="F162" s="11"/>
      <c r="G162" s="239">
        <v>43597</v>
      </c>
      <c r="H162" s="11"/>
      <c r="I162" s="11"/>
      <c r="J162" s="173" t="s">
        <v>29</v>
      </c>
      <c r="K162" s="3">
        <f>ROUND(G162*K160,2)</f>
        <v>81962.36</v>
      </c>
      <c r="L162" s="11"/>
      <c r="O162" s="188"/>
    </row>
    <row r="163" spans="1:15" ht="12.75">
      <c r="A163" s="84"/>
      <c r="B163" s="179"/>
      <c r="C163" s="11"/>
      <c r="D163" s="11"/>
      <c r="E163" s="11"/>
      <c r="F163" s="11"/>
      <c r="G163" s="239"/>
      <c r="H163" s="11"/>
      <c r="I163" s="11"/>
      <c r="J163" s="173"/>
      <c r="L163" s="11"/>
      <c r="O163" s="188"/>
    </row>
    <row r="164" spans="1:15" ht="12.75">
      <c r="A164" s="84"/>
      <c r="B164" s="179"/>
      <c r="C164" s="11"/>
      <c r="D164" s="11" t="s">
        <v>31</v>
      </c>
      <c r="E164" s="11"/>
      <c r="F164" s="11"/>
      <c r="G164" s="239">
        <f>D158-G162</f>
        <v>6802</v>
      </c>
      <c r="H164" s="11"/>
      <c r="I164" s="11"/>
      <c r="J164" s="2" t="s">
        <v>30</v>
      </c>
      <c r="K164" s="3">
        <f>ROUND(G164*K160,2)</f>
        <v>12787.76</v>
      </c>
      <c r="O164" s="188"/>
    </row>
    <row r="165" spans="1:15" ht="12.75">
      <c r="A165" s="84"/>
      <c r="B165" s="179"/>
      <c r="C165" s="11"/>
      <c r="D165" s="11" t="s">
        <v>295</v>
      </c>
      <c r="E165" s="11"/>
      <c r="F165" s="11"/>
      <c r="G165" s="8"/>
      <c r="H165" s="11"/>
      <c r="I165" s="11"/>
      <c r="J165" s="2"/>
      <c r="O165" s="188"/>
    </row>
    <row r="166" spans="1:15" ht="12.75">
      <c r="A166" s="84"/>
      <c r="B166" s="179"/>
      <c r="C166" s="11"/>
      <c r="D166" s="11"/>
      <c r="E166" s="11"/>
      <c r="F166" s="11"/>
      <c r="G166" s="239"/>
      <c r="H166" s="11"/>
      <c r="I166" s="11"/>
      <c r="J166" s="2"/>
      <c r="O166" s="188"/>
    </row>
    <row r="167" spans="1:15" ht="12.75">
      <c r="A167" s="84"/>
      <c r="B167" s="179"/>
      <c r="C167" s="11"/>
      <c r="D167" s="11" t="s">
        <v>297</v>
      </c>
      <c r="E167" s="11"/>
      <c r="F167" s="11"/>
      <c r="G167" s="11"/>
      <c r="H167" s="11"/>
      <c r="I167" s="11"/>
      <c r="J167" s="2" t="s">
        <v>32</v>
      </c>
      <c r="K167" s="180">
        <f>K158-K162-K164</f>
        <v>95.04000000000269</v>
      </c>
      <c r="O167" s="188"/>
    </row>
    <row r="168" spans="1:15" ht="12.75">
      <c r="A168" s="84"/>
      <c r="B168" s="11"/>
      <c r="C168" s="11"/>
      <c r="D168" s="11"/>
      <c r="E168" s="11"/>
      <c r="F168" s="11"/>
      <c r="G168" s="11"/>
      <c r="H168" s="11"/>
      <c r="I168" s="11"/>
      <c r="J168" s="2"/>
      <c r="O168" s="188"/>
    </row>
    <row r="169" spans="1:15" ht="12.75">
      <c r="A169" s="84"/>
      <c r="B169" s="11"/>
      <c r="C169" s="11"/>
      <c r="D169" s="11"/>
      <c r="E169" s="11"/>
      <c r="F169" s="11"/>
      <c r="G169" s="11"/>
      <c r="H169" s="11"/>
      <c r="I169" s="11"/>
      <c r="J169" s="2"/>
      <c r="O169" s="188"/>
    </row>
    <row r="170" spans="1:15" ht="12.75">
      <c r="A170" s="84"/>
      <c r="B170" s="11"/>
      <c r="C170" s="11" t="s">
        <v>424</v>
      </c>
      <c r="D170" s="11"/>
      <c r="E170" s="11"/>
      <c r="F170" s="11"/>
      <c r="G170" s="11"/>
      <c r="H170" s="11"/>
      <c r="I170" s="178"/>
      <c r="J170" s="2" t="s">
        <v>41</v>
      </c>
      <c r="K170" s="3">
        <f>K146</f>
        <v>63073.28</v>
      </c>
      <c r="O170" s="188"/>
    </row>
    <row r="171" spans="1:15" ht="12.75">
      <c r="A171" s="84"/>
      <c r="B171" s="11"/>
      <c r="C171" s="11"/>
      <c r="D171" s="238"/>
      <c r="E171" s="11"/>
      <c r="F171" s="11"/>
      <c r="G171" s="11"/>
      <c r="H171" s="11"/>
      <c r="I171" s="11"/>
      <c r="J171" s="2"/>
      <c r="O171" s="188"/>
    </row>
    <row r="172" spans="1:15" ht="12.75">
      <c r="A172" s="84"/>
      <c r="B172" s="11"/>
      <c r="C172" s="11"/>
      <c r="D172" s="11" t="s">
        <v>26</v>
      </c>
      <c r="E172" s="11"/>
      <c r="F172" s="11"/>
      <c r="G172" s="11"/>
      <c r="H172" s="11"/>
      <c r="I172" s="11"/>
      <c r="J172" s="2" t="s">
        <v>79</v>
      </c>
      <c r="K172" s="9">
        <f>ROUND(K170*0.25,2)</f>
        <v>15768.32</v>
      </c>
      <c r="O172" s="188"/>
    </row>
    <row r="173" spans="1:15" ht="12.75">
      <c r="A173" s="84"/>
      <c r="B173" s="11"/>
      <c r="C173" s="11" t="s">
        <v>76</v>
      </c>
      <c r="D173" s="238">
        <v>50274</v>
      </c>
      <c r="E173" s="11" t="s">
        <v>78</v>
      </c>
      <c r="F173" s="11"/>
      <c r="G173" s="11"/>
      <c r="H173" s="11"/>
      <c r="I173" s="11"/>
      <c r="J173" s="2" t="s">
        <v>80</v>
      </c>
      <c r="K173" s="3">
        <f>ROUND(K170-K172,2)</f>
        <v>47304.96</v>
      </c>
      <c r="O173" s="188"/>
    </row>
    <row r="174" spans="1:15" ht="12.75">
      <c r="A174" s="84"/>
      <c r="B174" s="11"/>
      <c r="C174" s="11"/>
      <c r="D174" s="11"/>
      <c r="E174" s="11"/>
      <c r="F174" s="11"/>
      <c r="G174" s="11"/>
      <c r="H174" s="11"/>
      <c r="I174" s="11"/>
      <c r="J174" s="2"/>
      <c r="K174" s="9"/>
      <c r="O174" s="188"/>
    </row>
    <row r="175" spans="1:15" ht="12.75">
      <c r="A175" s="84"/>
      <c r="B175" s="11"/>
      <c r="C175" s="11"/>
      <c r="D175" s="11" t="s">
        <v>296</v>
      </c>
      <c r="E175" s="11"/>
      <c r="F175" s="11"/>
      <c r="G175" s="11"/>
      <c r="H175" s="11"/>
      <c r="I175" s="11"/>
      <c r="J175" s="2" t="s">
        <v>81</v>
      </c>
      <c r="K175" s="3">
        <f>ROUND(K173/D173,2)</f>
        <v>0.94</v>
      </c>
      <c r="O175" s="188"/>
    </row>
    <row r="176" spans="1:15" ht="12.75">
      <c r="A176" s="85"/>
      <c r="B176" s="176"/>
      <c r="C176" s="176"/>
      <c r="D176" s="176"/>
      <c r="E176" s="176"/>
      <c r="F176" s="176"/>
      <c r="G176" s="176"/>
      <c r="H176" s="176"/>
      <c r="I176" s="176"/>
      <c r="J176" s="96"/>
      <c r="K176" s="4"/>
      <c r="L176" s="86"/>
      <c r="M176" s="86"/>
      <c r="N176" s="86"/>
      <c r="O176" s="189"/>
    </row>
    <row r="177" spans="1:15" ht="12.75">
      <c r="A177" s="84"/>
      <c r="B177" s="11"/>
      <c r="C177" s="11"/>
      <c r="D177" s="353"/>
      <c r="E177" s="353"/>
      <c r="F177" s="353"/>
      <c r="G177" s="353"/>
      <c r="H177" s="353"/>
      <c r="I177" s="11"/>
      <c r="J177" s="2"/>
      <c r="O177" s="188"/>
    </row>
    <row r="178" spans="1:15" ht="12.75">
      <c r="A178" s="84"/>
      <c r="B178" s="11"/>
      <c r="C178" s="11" t="s">
        <v>13</v>
      </c>
      <c r="D178" s="11" t="s">
        <v>24</v>
      </c>
      <c r="E178" s="11"/>
      <c r="F178" s="11"/>
      <c r="G178" s="574">
        <v>42749</v>
      </c>
      <c r="H178" s="11"/>
      <c r="I178" s="11"/>
      <c r="J178" s="2" t="s">
        <v>82</v>
      </c>
      <c r="K178" s="3">
        <f>ROUND(G178*K175,2)</f>
        <v>40184.06</v>
      </c>
      <c r="O178" s="188"/>
    </row>
    <row r="179" spans="1:15" ht="12.75">
      <c r="A179" s="84"/>
      <c r="B179" s="11"/>
      <c r="C179" s="11"/>
      <c r="D179" s="11"/>
      <c r="E179" s="11"/>
      <c r="F179" s="11"/>
      <c r="G179" s="574"/>
      <c r="H179" s="11"/>
      <c r="I179" s="11"/>
      <c r="J179" s="2"/>
      <c r="O179" s="188"/>
    </row>
    <row r="180" spans="1:15" ht="12.75">
      <c r="A180" s="84"/>
      <c r="B180" s="11"/>
      <c r="C180" s="11"/>
      <c r="D180" s="11"/>
      <c r="E180" s="11"/>
      <c r="F180" s="11"/>
      <c r="G180" s="574"/>
      <c r="H180" s="11"/>
      <c r="I180" s="11"/>
      <c r="J180" s="2"/>
      <c r="O180" s="188"/>
    </row>
    <row r="181" spans="1:15" ht="12.75">
      <c r="A181" s="84"/>
      <c r="B181" s="11"/>
      <c r="C181" s="11"/>
      <c r="D181" s="11" t="s">
        <v>31</v>
      </c>
      <c r="E181" s="11"/>
      <c r="F181" s="11"/>
      <c r="G181" s="239">
        <f>D173-G178</f>
        <v>7525</v>
      </c>
      <c r="H181" s="11"/>
      <c r="I181" s="11"/>
      <c r="J181" s="2" t="s">
        <v>298</v>
      </c>
      <c r="K181" s="3">
        <f>ROUND(G181*K175,2)</f>
        <v>7073.5</v>
      </c>
      <c r="O181" s="188"/>
    </row>
    <row r="182" spans="1:15" ht="12.75">
      <c r="A182" s="84"/>
      <c r="B182" s="11"/>
      <c r="C182" s="11"/>
      <c r="D182" s="11" t="s">
        <v>295</v>
      </c>
      <c r="E182" s="11"/>
      <c r="F182" s="11"/>
      <c r="G182" s="8"/>
      <c r="H182" s="11"/>
      <c r="I182" s="11"/>
      <c r="J182" s="2"/>
      <c r="O182" s="188"/>
    </row>
    <row r="183" spans="1:15" ht="12.75">
      <c r="A183" s="84"/>
      <c r="B183" s="11"/>
      <c r="C183" s="11"/>
      <c r="D183" s="11"/>
      <c r="E183" s="11"/>
      <c r="F183" s="11"/>
      <c r="G183" s="239"/>
      <c r="H183" s="11"/>
      <c r="I183" s="11"/>
      <c r="J183" s="2"/>
      <c r="O183" s="188"/>
    </row>
    <row r="184" spans="1:15" ht="12.75">
      <c r="A184" s="84"/>
      <c r="B184" s="11"/>
      <c r="C184" s="11"/>
      <c r="D184" s="11" t="s">
        <v>301</v>
      </c>
      <c r="E184" s="11"/>
      <c r="F184" s="11"/>
      <c r="G184" s="11"/>
      <c r="H184" s="11"/>
      <c r="I184" s="11"/>
      <c r="J184" s="2" t="s">
        <v>299</v>
      </c>
      <c r="K184" s="180">
        <f>K173-K178-K181</f>
        <v>47.400000000001455</v>
      </c>
      <c r="O184" s="188"/>
    </row>
    <row r="185" spans="1:15" ht="12.75">
      <c r="A185" s="84"/>
      <c r="B185" s="11"/>
      <c r="C185" s="11"/>
      <c r="D185" s="11"/>
      <c r="E185" s="11"/>
      <c r="F185" s="11"/>
      <c r="G185" s="11"/>
      <c r="H185" s="11"/>
      <c r="I185" s="11"/>
      <c r="J185" s="2"/>
      <c r="K185" s="180"/>
      <c r="O185" s="188"/>
    </row>
    <row r="186" spans="1:15" ht="12.75">
      <c r="A186" s="84"/>
      <c r="B186" s="11"/>
      <c r="C186" s="11"/>
      <c r="D186" s="11"/>
      <c r="E186" s="11"/>
      <c r="F186" s="11"/>
      <c r="G186" s="11"/>
      <c r="H186" s="11"/>
      <c r="I186" s="11"/>
      <c r="O186" s="188"/>
    </row>
    <row r="187" spans="1:15" ht="12.75">
      <c r="A187" s="153" t="s">
        <v>33</v>
      </c>
      <c r="B187" s="8" t="s">
        <v>34</v>
      </c>
      <c r="C187" s="11"/>
      <c r="D187" s="11"/>
      <c r="E187" s="11"/>
      <c r="F187" s="11"/>
      <c r="G187" s="11"/>
      <c r="H187" s="11"/>
      <c r="I187" s="11"/>
      <c r="J187" s="2"/>
      <c r="K187" s="6"/>
      <c r="O187" s="188"/>
    </row>
    <row r="188" spans="1:15" ht="12.75">
      <c r="A188" s="84"/>
      <c r="B188" s="11"/>
      <c r="C188" s="11"/>
      <c r="D188" s="11"/>
      <c r="E188" s="11"/>
      <c r="F188" s="11"/>
      <c r="G188" s="11"/>
      <c r="H188" s="11"/>
      <c r="I188" s="11"/>
      <c r="J188" s="2"/>
      <c r="O188" s="188"/>
    </row>
    <row r="189" spans="1:15" ht="12.75">
      <c r="A189" s="84"/>
      <c r="B189" s="8" t="s">
        <v>307</v>
      </c>
      <c r="C189" s="8" t="s">
        <v>35</v>
      </c>
      <c r="D189" s="11"/>
      <c r="E189" s="11"/>
      <c r="F189" s="11"/>
      <c r="G189" s="11"/>
      <c r="H189" s="11"/>
      <c r="I189" s="11"/>
      <c r="J189" s="2"/>
      <c r="O189" s="188"/>
    </row>
    <row r="190" spans="1:15" ht="12.75">
      <c r="A190" s="84"/>
      <c r="B190" s="11" t="s">
        <v>330</v>
      </c>
      <c r="C190" s="11"/>
      <c r="D190" s="11"/>
      <c r="E190" s="11"/>
      <c r="F190" s="11"/>
      <c r="G190" s="11"/>
      <c r="H190" s="11"/>
      <c r="I190" s="11"/>
      <c r="J190" s="2"/>
      <c r="O190" s="188"/>
    </row>
    <row r="191" spans="1:15" ht="12.75">
      <c r="A191" s="84"/>
      <c r="B191" s="11"/>
      <c r="C191" s="11"/>
      <c r="D191" s="11"/>
      <c r="E191" s="11"/>
      <c r="F191" s="11"/>
      <c r="G191" s="173" t="s">
        <v>36</v>
      </c>
      <c r="H191" s="11"/>
      <c r="I191" s="173" t="s">
        <v>37</v>
      </c>
      <c r="J191" s="2"/>
      <c r="K191" s="10" t="s">
        <v>38</v>
      </c>
      <c r="O191" s="188"/>
    </row>
    <row r="192" spans="1:15" ht="12.75">
      <c r="A192" s="84"/>
      <c r="B192" s="11"/>
      <c r="C192" s="11"/>
      <c r="D192" s="11"/>
      <c r="E192" s="11"/>
      <c r="F192" s="11"/>
      <c r="G192" s="173" t="s">
        <v>39</v>
      </c>
      <c r="H192" s="11"/>
      <c r="I192" s="173"/>
      <c r="J192" s="2"/>
      <c r="K192" s="10" t="s">
        <v>40</v>
      </c>
      <c r="O192" s="188"/>
    </row>
    <row r="193" spans="1:15" ht="12.75">
      <c r="A193" s="84"/>
      <c r="B193" s="176"/>
      <c r="C193" s="176"/>
      <c r="D193" s="176"/>
      <c r="E193" s="176"/>
      <c r="F193" s="176"/>
      <c r="G193" s="181"/>
      <c r="H193" s="176"/>
      <c r="I193" s="181" t="s">
        <v>100</v>
      </c>
      <c r="J193" s="96"/>
      <c r="K193" s="12" t="s">
        <v>111</v>
      </c>
      <c r="L193" s="86"/>
      <c r="M193" s="86"/>
      <c r="N193" s="86"/>
      <c r="O193" s="189"/>
    </row>
    <row r="194" spans="1:15" ht="12.75">
      <c r="A194" s="84"/>
      <c r="B194" s="11"/>
      <c r="C194" s="11"/>
      <c r="D194" s="11"/>
      <c r="E194" s="11"/>
      <c r="F194" s="11"/>
      <c r="G194" s="11"/>
      <c r="H194" s="11"/>
      <c r="I194" s="11"/>
      <c r="J194" s="2"/>
      <c r="O194" s="187"/>
    </row>
    <row r="195" spans="1:15" ht="12.75">
      <c r="A195" s="182"/>
      <c r="B195" s="168" t="s">
        <v>425</v>
      </c>
      <c r="C195" s="168"/>
      <c r="D195" s="168"/>
      <c r="E195" s="168"/>
      <c r="F195" s="168"/>
      <c r="G195" s="575">
        <f>G162</f>
        <v>43597</v>
      </c>
      <c r="H195" s="168"/>
      <c r="I195" s="184">
        <f>K160</f>
        <v>1.88</v>
      </c>
      <c r="J195" s="157" t="s">
        <v>81</v>
      </c>
      <c r="K195" s="159">
        <f>G195*I195</f>
        <v>81962.36</v>
      </c>
      <c r="L195" s="92"/>
      <c r="O195" s="190"/>
    </row>
    <row r="196" spans="1:15" ht="12.75">
      <c r="A196" s="169"/>
      <c r="B196" s="11"/>
      <c r="C196" s="11"/>
      <c r="D196" s="11"/>
      <c r="E196" s="11"/>
      <c r="F196" s="11"/>
      <c r="G196" s="11"/>
      <c r="H196" s="11"/>
      <c r="I196" s="170"/>
      <c r="J196" s="2"/>
      <c r="O196" s="188"/>
    </row>
    <row r="197" spans="1:15" ht="12.75">
      <c r="A197" s="182"/>
      <c r="B197" s="168" t="s">
        <v>426</v>
      </c>
      <c r="C197" s="168"/>
      <c r="D197" s="168"/>
      <c r="E197" s="168"/>
      <c r="F197" s="168"/>
      <c r="G197" s="575">
        <f>G178</f>
        <v>42749</v>
      </c>
      <c r="H197" s="168"/>
      <c r="I197" s="184">
        <f>K175</f>
        <v>0.94</v>
      </c>
      <c r="J197" s="157" t="s">
        <v>82</v>
      </c>
      <c r="K197" s="195">
        <f>G197*I197</f>
        <v>40184.06</v>
      </c>
      <c r="L197" s="92"/>
      <c r="O197" s="190"/>
    </row>
    <row r="198" spans="1:15" ht="12.75">
      <c r="A198" s="169"/>
      <c r="B198" s="11"/>
      <c r="C198" s="11"/>
      <c r="D198" s="11"/>
      <c r="E198" s="11"/>
      <c r="F198" s="11"/>
      <c r="G198" s="11"/>
      <c r="H198" s="11"/>
      <c r="I198" s="11"/>
      <c r="K198" s="3">
        <f>SUM(K195:K197)</f>
        <v>122146.42</v>
      </c>
      <c r="O198" s="188"/>
    </row>
    <row r="199" spans="1:15" ht="12.75">
      <c r="A199" s="85"/>
      <c r="B199" s="176"/>
      <c r="C199" s="176"/>
      <c r="D199" s="176"/>
      <c r="E199" s="176"/>
      <c r="F199" s="176"/>
      <c r="G199" s="176"/>
      <c r="H199" s="176"/>
      <c r="I199" s="176"/>
      <c r="J199" s="86"/>
      <c r="K199" s="196"/>
      <c r="O199" s="188"/>
    </row>
    <row r="200" spans="1:15" ht="12.75">
      <c r="A200" s="82"/>
      <c r="B200" s="11"/>
      <c r="C200" s="11"/>
      <c r="D200" s="11"/>
      <c r="E200" s="11"/>
      <c r="F200" s="11"/>
      <c r="G200" s="11"/>
      <c r="H200" s="11"/>
      <c r="I200" s="11"/>
      <c r="K200" s="8"/>
      <c r="O200" s="188"/>
    </row>
    <row r="201" spans="1:15" ht="12.75">
      <c r="A201" s="84"/>
      <c r="B201" s="11"/>
      <c r="C201" s="363" t="s">
        <v>427</v>
      </c>
      <c r="D201" s="11"/>
      <c r="E201" s="11"/>
      <c r="F201" s="11"/>
      <c r="G201" s="11"/>
      <c r="H201" s="11"/>
      <c r="I201" s="11"/>
      <c r="J201" s="11"/>
      <c r="K201" s="8"/>
      <c r="O201" s="188"/>
    </row>
    <row r="202" spans="1:15" ht="12.75">
      <c r="A202" s="84"/>
      <c r="B202" s="11"/>
      <c r="C202" s="11"/>
      <c r="D202" s="11"/>
      <c r="E202" s="11"/>
      <c r="F202" s="11"/>
      <c r="G202" s="11"/>
      <c r="H202" s="11"/>
      <c r="I202" s="11"/>
      <c r="J202" s="11"/>
      <c r="K202" s="8"/>
      <c r="O202" s="188"/>
    </row>
    <row r="203" spans="1:15" ht="12.75">
      <c r="A203" s="84"/>
      <c r="B203" s="11"/>
      <c r="C203" s="11" t="s">
        <v>61</v>
      </c>
      <c r="D203" s="171"/>
      <c r="E203" s="11"/>
      <c r="F203" s="11"/>
      <c r="G203" s="13"/>
      <c r="H203" s="11"/>
      <c r="I203" s="11"/>
      <c r="J203" s="11"/>
      <c r="O203" s="188"/>
    </row>
    <row r="204" spans="1:15" ht="12.75">
      <c r="A204" s="84"/>
      <c r="B204" s="11"/>
      <c r="C204" s="11"/>
      <c r="D204" s="171"/>
      <c r="E204" s="11"/>
      <c r="F204" s="11"/>
      <c r="G204" s="13"/>
      <c r="H204" s="11"/>
      <c r="I204" s="11"/>
      <c r="J204" s="11"/>
      <c r="O204" s="188"/>
    </row>
    <row r="205" spans="1:15" ht="12.75">
      <c r="A205" s="84"/>
      <c r="B205" s="11"/>
      <c r="C205" s="14" t="s">
        <v>62</v>
      </c>
      <c r="D205" s="226">
        <v>50399</v>
      </c>
      <c r="E205" s="14" t="s">
        <v>103</v>
      </c>
      <c r="F205" s="14">
        <v>2</v>
      </c>
      <c r="G205" s="14" t="s">
        <v>461</v>
      </c>
      <c r="H205" s="14"/>
      <c r="I205" s="14"/>
      <c r="J205" s="14" t="s">
        <v>63</v>
      </c>
      <c r="K205" s="198">
        <f>ROUND(D205*F205,0)</f>
        <v>100798</v>
      </c>
      <c r="O205" s="188"/>
    </row>
    <row r="206" spans="1:15" ht="12.75">
      <c r="A206" s="84"/>
      <c r="B206" s="11"/>
      <c r="C206" s="14" t="s">
        <v>65</v>
      </c>
      <c r="D206" s="226">
        <v>50274</v>
      </c>
      <c r="E206" s="15" t="s">
        <v>103</v>
      </c>
      <c r="F206" s="14">
        <v>1</v>
      </c>
      <c r="G206" s="18" t="s">
        <v>462</v>
      </c>
      <c r="H206" s="14"/>
      <c r="I206" s="14"/>
      <c r="J206" s="14" t="s">
        <v>63</v>
      </c>
      <c r="K206" s="199">
        <f>ROUND(D206*F206,0)</f>
        <v>50274</v>
      </c>
      <c r="O206" s="188"/>
    </row>
    <row r="207" spans="1:15" ht="12.75">
      <c r="A207" s="84"/>
      <c r="B207" s="11"/>
      <c r="C207" s="14"/>
      <c r="D207" s="14"/>
      <c r="E207" s="15"/>
      <c r="F207" s="15"/>
      <c r="G207" s="16"/>
      <c r="H207" s="14"/>
      <c r="I207" s="17" t="s">
        <v>66</v>
      </c>
      <c r="J207" s="14" t="s">
        <v>63</v>
      </c>
      <c r="K207" s="198">
        <f>SUM(K205:K206)</f>
        <v>151072</v>
      </c>
      <c r="O207" s="188"/>
    </row>
    <row r="208" spans="1:15" ht="12.75">
      <c r="A208" s="84"/>
      <c r="B208" s="11"/>
      <c r="C208" s="11"/>
      <c r="D208" s="171"/>
      <c r="E208" s="11"/>
      <c r="F208" s="11"/>
      <c r="G208" s="11"/>
      <c r="H208" s="11"/>
      <c r="I208" s="11"/>
      <c r="J208" s="11"/>
      <c r="K208" s="170"/>
      <c r="O208" s="188"/>
    </row>
    <row r="209" spans="1:15" ht="12.75">
      <c r="A209" s="84"/>
      <c r="B209" s="11"/>
      <c r="C209" s="14" t="s">
        <v>67</v>
      </c>
      <c r="D209" s="14"/>
      <c r="E209" s="14"/>
      <c r="F209" s="11"/>
      <c r="G209" s="191">
        <f>L130</f>
        <v>190504.37</v>
      </c>
      <c r="H209" s="14" t="s">
        <v>100</v>
      </c>
      <c r="I209" s="14"/>
      <c r="J209" s="11"/>
      <c r="K209" s="17"/>
      <c r="O209" s="188"/>
    </row>
    <row r="210" spans="1:15" ht="12.75">
      <c r="A210" s="84"/>
      <c r="B210" s="11"/>
      <c r="C210" s="14"/>
      <c r="D210" s="14"/>
      <c r="E210" s="14"/>
      <c r="F210" s="11"/>
      <c r="G210" s="224">
        <f>K207</f>
        <v>151072</v>
      </c>
      <c r="H210" s="14" t="s">
        <v>64</v>
      </c>
      <c r="I210" s="15" t="s">
        <v>68</v>
      </c>
      <c r="J210" s="11"/>
      <c r="K210" s="197">
        <f>G209/G210</f>
        <v>1.2610170647108663</v>
      </c>
      <c r="O210" s="188"/>
    </row>
    <row r="211" spans="1:15" ht="12.75">
      <c r="A211" s="84"/>
      <c r="B211" s="11"/>
      <c r="C211" s="218" t="s">
        <v>69</v>
      </c>
      <c r="D211" s="14"/>
      <c r="E211" s="225"/>
      <c r="F211" s="11"/>
      <c r="G211" s="14"/>
      <c r="H211" s="14"/>
      <c r="I211" s="14"/>
      <c r="J211" s="11"/>
      <c r="K211" s="192" t="s">
        <v>70</v>
      </c>
      <c r="O211" s="188"/>
    </row>
    <row r="212" spans="1:15" ht="12.75">
      <c r="A212" s="84"/>
      <c r="B212" s="11"/>
      <c r="C212" s="226"/>
      <c r="D212" s="11"/>
      <c r="E212" s="11"/>
      <c r="F212" s="11"/>
      <c r="G212" s="11"/>
      <c r="H212" s="11"/>
      <c r="I212" s="11"/>
      <c r="J212" s="11"/>
      <c r="K212" s="170"/>
      <c r="O212" s="188"/>
    </row>
    <row r="213" spans="1:15" ht="12.75">
      <c r="A213" s="84"/>
      <c r="B213" s="11"/>
      <c r="C213" s="14" t="s">
        <v>6</v>
      </c>
      <c r="D213" s="14" t="s">
        <v>62</v>
      </c>
      <c r="E213" s="573">
        <v>50399</v>
      </c>
      <c r="F213" s="15" t="s">
        <v>71</v>
      </c>
      <c r="G213" s="227">
        <f>K210</f>
        <v>1.2610170647108663</v>
      </c>
      <c r="H213" s="15" t="s">
        <v>71</v>
      </c>
      <c r="I213" s="15">
        <v>2</v>
      </c>
      <c r="J213" s="15" t="s">
        <v>63</v>
      </c>
      <c r="K213" s="17">
        <f>ROUND(E213*G213*I213,2)</f>
        <v>127108</v>
      </c>
      <c r="O213" s="188"/>
    </row>
    <row r="214" spans="1:15" ht="12.75">
      <c r="A214" s="84"/>
      <c r="B214" s="11"/>
      <c r="C214" s="14"/>
      <c r="D214" s="14" t="s">
        <v>65</v>
      </c>
      <c r="E214" s="573">
        <v>50274</v>
      </c>
      <c r="F214" s="15" t="s">
        <v>72</v>
      </c>
      <c r="G214" s="227">
        <f>K210</f>
        <v>1.2610170647108663</v>
      </c>
      <c r="H214" s="15" t="s">
        <v>71</v>
      </c>
      <c r="I214" s="15">
        <v>1</v>
      </c>
      <c r="J214" s="15" t="s">
        <v>63</v>
      </c>
      <c r="K214" s="191">
        <f>ROUND(E214*G214*I214,2)</f>
        <v>63396.37</v>
      </c>
      <c r="O214" s="188"/>
    </row>
    <row r="215" spans="1:15" ht="12.75">
      <c r="A215" s="84"/>
      <c r="B215" s="11"/>
      <c r="C215" s="14" t="s">
        <v>73</v>
      </c>
      <c r="D215" s="14"/>
      <c r="E215" s="14"/>
      <c r="F215" s="14"/>
      <c r="G215" s="14"/>
      <c r="H215" s="14"/>
      <c r="I215" s="14"/>
      <c r="J215" s="14"/>
      <c r="K215" s="17">
        <f>SUM(K213:K214)</f>
        <v>190504.37</v>
      </c>
      <c r="O215" s="188"/>
    </row>
    <row r="216" spans="1:15" ht="12.75">
      <c r="A216" s="84"/>
      <c r="B216" s="11"/>
      <c r="C216" s="11"/>
      <c r="D216" s="11"/>
      <c r="E216" s="11"/>
      <c r="F216" s="11"/>
      <c r="G216" s="11"/>
      <c r="H216" s="11"/>
      <c r="I216" s="11"/>
      <c r="J216" s="11"/>
      <c r="K216" s="170"/>
      <c r="O216" s="188"/>
    </row>
    <row r="217" spans="1:15" ht="12.75">
      <c r="A217" s="84"/>
      <c r="B217" s="11"/>
      <c r="C217" s="11"/>
      <c r="D217" s="11"/>
      <c r="E217" s="11"/>
      <c r="F217" s="11"/>
      <c r="G217" s="11"/>
      <c r="H217" s="11"/>
      <c r="I217" s="11"/>
      <c r="O217" s="188"/>
    </row>
    <row r="218" spans="1:15" ht="12.75">
      <c r="A218" s="84"/>
      <c r="B218" s="11"/>
      <c r="C218" s="11" t="s">
        <v>74</v>
      </c>
      <c r="D218" s="11"/>
      <c r="E218" s="11"/>
      <c r="F218" s="11"/>
      <c r="G218" s="11"/>
      <c r="H218" s="11"/>
      <c r="I218" s="11"/>
      <c r="K218" s="3">
        <f>K215</f>
        <v>190504.37</v>
      </c>
      <c r="O218" s="188"/>
    </row>
    <row r="219" spans="1:15" ht="12.75">
      <c r="A219" s="84"/>
      <c r="B219" s="11"/>
      <c r="C219" s="11" t="s">
        <v>428</v>
      </c>
      <c r="D219" s="11"/>
      <c r="E219" s="11"/>
      <c r="F219" s="11"/>
      <c r="G219" s="11"/>
      <c r="H219" s="11"/>
      <c r="I219" s="11"/>
      <c r="K219" s="9">
        <f>L127</f>
        <v>190504.37</v>
      </c>
      <c r="O219" s="188"/>
    </row>
    <row r="220" spans="1:15" ht="12.75">
      <c r="A220" s="84"/>
      <c r="B220" s="11"/>
      <c r="C220" s="11" t="s">
        <v>75</v>
      </c>
      <c r="D220" s="11"/>
      <c r="E220" s="11"/>
      <c r="F220" s="11"/>
      <c r="G220" s="11"/>
      <c r="H220" s="11"/>
      <c r="I220" s="11"/>
      <c r="K220" s="3">
        <f>K219-K215</f>
        <v>0</v>
      </c>
      <c r="O220" s="188"/>
    </row>
    <row r="221" spans="1:15" ht="12.75">
      <c r="A221" s="84"/>
      <c r="B221" s="11"/>
      <c r="C221" s="11"/>
      <c r="D221" s="11"/>
      <c r="E221" s="11"/>
      <c r="F221" s="11"/>
      <c r="G221" s="11"/>
      <c r="H221" s="11"/>
      <c r="I221" s="11"/>
      <c r="K221" s="8"/>
      <c r="O221" s="188"/>
    </row>
    <row r="222" spans="1:15" ht="12.75">
      <c r="A222" s="85"/>
      <c r="B222" s="176"/>
      <c r="C222" s="176"/>
      <c r="D222" s="176"/>
      <c r="E222" s="176"/>
      <c r="F222" s="176"/>
      <c r="G222" s="176"/>
      <c r="H222" s="176"/>
      <c r="I222" s="176"/>
      <c r="J222" s="86"/>
      <c r="K222" s="196"/>
      <c r="L222" s="86"/>
      <c r="M222" s="86"/>
      <c r="N222" s="86"/>
      <c r="O222" s="189"/>
    </row>
    <row r="223" spans="2:11" ht="12.75">
      <c r="B223" s="11"/>
      <c r="C223" s="11"/>
      <c r="D223" s="11"/>
      <c r="E223" s="11"/>
      <c r="F223" s="11"/>
      <c r="G223" s="11"/>
      <c r="H223" s="11"/>
      <c r="I223" s="11"/>
      <c r="K223" s="8"/>
    </row>
    <row r="224" spans="2:11" ht="12.75">
      <c r="B224" s="11"/>
      <c r="C224" s="11"/>
      <c r="D224" s="11"/>
      <c r="E224" s="11"/>
      <c r="F224" s="11"/>
      <c r="G224" s="11"/>
      <c r="H224" s="11"/>
      <c r="I224" s="11"/>
      <c r="K224" s="8"/>
    </row>
    <row r="225" spans="1:15" ht="12.75">
      <c r="A225" s="84"/>
      <c r="B225" s="11"/>
      <c r="C225" s="11"/>
      <c r="D225" s="11"/>
      <c r="E225" s="11"/>
      <c r="F225" s="11"/>
      <c r="G225" s="11"/>
      <c r="H225" s="11"/>
      <c r="I225" s="11"/>
      <c r="K225" s="8"/>
      <c r="O225" s="188"/>
    </row>
    <row r="226" spans="1:15" ht="12.75">
      <c r="A226" s="84"/>
      <c r="B226" s="11"/>
      <c r="C226" s="11" t="s">
        <v>429</v>
      </c>
      <c r="D226" s="11"/>
      <c r="E226" s="11"/>
      <c r="F226" s="11"/>
      <c r="G226" s="11"/>
      <c r="H226" s="11"/>
      <c r="I226" s="218"/>
      <c r="J226" s="2" t="s">
        <v>23</v>
      </c>
      <c r="K226" s="3">
        <f>K213</f>
        <v>127108</v>
      </c>
      <c r="O226" s="188"/>
    </row>
    <row r="227" spans="1:15" ht="12.75">
      <c r="A227" s="84"/>
      <c r="B227" s="11"/>
      <c r="C227" s="11"/>
      <c r="D227" s="11"/>
      <c r="E227" s="11"/>
      <c r="F227" s="11"/>
      <c r="G227" s="11"/>
      <c r="H227" s="11"/>
      <c r="I227" s="218"/>
      <c r="J227" s="2"/>
      <c r="O227" s="188"/>
    </row>
    <row r="228" spans="1:15" ht="12.75">
      <c r="A228" s="84"/>
      <c r="B228" s="11"/>
      <c r="C228" s="11"/>
      <c r="D228" s="11" t="s">
        <v>26</v>
      </c>
      <c r="E228" s="11"/>
      <c r="F228" s="11"/>
      <c r="G228" s="11"/>
      <c r="H228" s="11"/>
      <c r="I228" s="11"/>
      <c r="J228" s="2" t="s">
        <v>25</v>
      </c>
      <c r="K228" s="9">
        <f>ROUND(K226*0.25,2)</f>
        <v>31777</v>
      </c>
      <c r="O228" s="188"/>
    </row>
    <row r="229" spans="1:15" ht="12.75">
      <c r="A229" s="84"/>
      <c r="B229" s="11"/>
      <c r="C229" s="11" t="s">
        <v>76</v>
      </c>
      <c r="D229" s="238">
        <v>50399</v>
      </c>
      <c r="E229" s="11" t="s">
        <v>77</v>
      </c>
      <c r="F229" s="11"/>
      <c r="G229" s="11"/>
      <c r="H229" s="11"/>
      <c r="I229" s="11"/>
      <c r="J229" s="2" t="s">
        <v>27</v>
      </c>
      <c r="K229" s="3">
        <f>ROUND(K226-K228,2)</f>
        <v>95331</v>
      </c>
      <c r="O229" s="188"/>
    </row>
    <row r="230" spans="1:15" ht="12.75">
      <c r="A230" s="84"/>
      <c r="B230" s="11"/>
      <c r="C230" s="11"/>
      <c r="D230" s="238"/>
      <c r="E230" s="11"/>
      <c r="F230" s="11"/>
      <c r="G230" s="11"/>
      <c r="H230" s="11"/>
      <c r="I230" s="11"/>
      <c r="J230" s="2"/>
      <c r="O230" s="188"/>
    </row>
    <row r="231" spans="1:15" ht="12.75">
      <c r="A231" s="84"/>
      <c r="B231" s="11"/>
      <c r="C231" s="11"/>
      <c r="D231" s="11" t="s">
        <v>296</v>
      </c>
      <c r="E231" s="11"/>
      <c r="F231" s="11"/>
      <c r="G231" s="11"/>
      <c r="H231" s="11"/>
      <c r="I231" s="11"/>
      <c r="J231" s="2" t="s">
        <v>28</v>
      </c>
      <c r="K231" s="3">
        <f>ROUND(K229/D229,2)</f>
        <v>1.89</v>
      </c>
      <c r="O231" s="188"/>
    </row>
    <row r="232" spans="1:15" ht="12.75">
      <c r="A232" s="84"/>
      <c r="B232" s="11"/>
      <c r="C232" s="11"/>
      <c r="D232" s="11"/>
      <c r="E232" s="11"/>
      <c r="F232" s="11"/>
      <c r="G232" s="11"/>
      <c r="H232" s="11"/>
      <c r="I232" s="11"/>
      <c r="J232" s="2"/>
      <c r="O232" s="188"/>
    </row>
    <row r="233" spans="1:15" ht="12.75">
      <c r="A233" s="84"/>
      <c r="B233" s="11"/>
      <c r="C233" s="11" t="s">
        <v>13</v>
      </c>
      <c r="D233" s="11" t="s">
        <v>24</v>
      </c>
      <c r="E233" s="11"/>
      <c r="F233" s="11"/>
      <c r="G233" s="239">
        <v>43597</v>
      </c>
      <c r="H233" s="11"/>
      <c r="I233" s="11"/>
      <c r="J233" s="2" t="s">
        <v>29</v>
      </c>
      <c r="K233" s="3">
        <f>ROUND(G233*K231,2)</f>
        <v>82398.33</v>
      </c>
      <c r="O233" s="188"/>
    </row>
    <row r="234" spans="1:15" ht="12.75">
      <c r="A234" s="84"/>
      <c r="B234" s="11"/>
      <c r="C234" s="11"/>
      <c r="D234" s="11"/>
      <c r="E234" s="11"/>
      <c r="F234" s="11"/>
      <c r="G234" s="239"/>
      <c r="H234" s="11"/>
      <c r="I234" s="11"/>
      <c r="J234" s="2"/>
      <c r="O234" s="188"/>
    </row>
    <row r="235" spans="1:15" ht="12.75">
      <c r="A235" s="84"/>
      <c r="B235" s="11"/>
      <c r="C235" s="11"/>
      <c r="D235" s="11" t="s">
        <v>31</v>
      </c>
      <c r="E235" s="11"/>
      <c r="F235" s="11"/>
      <c r="G235" s="239">
        <f>D229-G233</f>
        <v>6802</v>
      </c>
      <c r="H235" s="11"/>
      <c r="I235" s="11"/>
      <c r="J235" s="2" t="s">
        <v>30</v>
      </c>
      <c r="K235" s="3">
        <f>ROUND(G235*K231,2)</f>
        <v>12855.78</v>
      </c>
      <c r="O235" s="188"/>
    </row>
    <row r="236" spans="1:15" ht="12.75">
      <c r="A236" s="84"/>
      <c r="B236" s="11"/>
      <c r="C236" s="11"/>
      <c r="D236" s="11" t="s">
        <v>295</v>
      </c>
      <c r="E236" s="11"/>
      <c r="F236" s="11"/>
      <c r="G236" s="8"/>
      <c r="H236" s="11"/>
      <c r="I236" s="11"/>
      <c r="J236" s="2"/>
      <c r="O236" s="188"/>
    </row>
    <row r="237" spans="1:15" ht="12.75">
      <c r="A237" s="84"/>
      <c r="B237" s="11"/>
      <c r="C237" s="11"/>
      <c r="D237" s="11"/>
      <c r="E237" s="11"/>
      <c r="F237" s="11"/>
      <c r="G237" s="239"/>
      <c r="H237" s="11"/>
      <c r="I237" s="11"/>
      <c r="J237" s="2"/>
      <c r="O237" s="188"/>
    </row>
    <row r="238" spans="1:15" ht="12.75">
      <c r="A238" s="84"/>
      <c r="B238" s="11"/>
      <c r="C238" s="11"/>
      <c r="D238" s="11" t="s">
        <v>297</v>
      </c>
      <c r="E238" s="11"/>
      <c r="F238" s="11"/>
      <c r="G238" s="11"/>
      <c r="H238" s="11"/>
      <c r="I238" s="11"/>
      <c r="J238" s="2" t="s">
        <v>32</v>
      </c>
      <c r="K238" s="180">
        <f>K229-K233-K235</f>
        <v>76.8899999999976</v>
      </c>
      <c r="O238" s="188"/>
    </row>
    <row r="239" spans="1:15" ht="12.75">
      <c r="A239" s="84"/>
      <c r="B239" s="11"/>
      <c r="C239" s="11"/>
      <c r="D239" s="353"/>
      <c r="E239" s="353"/>
      <c r="F239" s="353"/>
      <c r="G239" s="353"/>
      <c r="H239" s="353"/>
      <c r="I239" s="11"/>
      <c r="J239" s="2"/>
      <c r="O239" s="188"/>
    </row>
    <row r="240" spans="1:15" ht="12.75">
      <c r="A240" s="84"/>
      <c r="B240" s="11"/>
      <c r="C240" s="11"/>
      <c r="D240" s="353"/>
      <c r="E240" s="353"/>
      <c r="F240" s="353"/>
      <c r="G240" s="353"/>
      <c r="H240" s="353"/>
      <c r="I240" s="11"/>
      <c r="J240" s="2"/>
      <c r="O240" s="188"/>
    </row>
    <row r="241" spans="1:15" ht="12.75">
      <c r="A241" s="84"/>
      <c r="B241" s="11"/>
      <c r="C241" s="11" t="s">
        <v>430</v>
      </c>
      <c r="D241" s="11"/>
      <c r="E241" s="11"/>
      <c r="F241" s="11"/>
      <c r="G241" s="11"/>
      <c r="H241" s="11"/>
      <c r="I241" s="178"/>
      <c r="J241" s="2" t="s">
        <v>41</v>
      </c>
      <c r="K241" s="3">
        <f>K214</f>
        <v>63396.37</v>
      </c>
      <c r="O241" s="188"/>
    </row>
    <row r="242" spans="1:15" ht="12.75">
      <c r="A242" s="84"/>
      <c r="B242" s="11"/>
      <c r="C242" s="11"/>
      <c r="D242" s="238"/>
      <c r="E242" s="11"/>
      <c r="F242" s="11"/>
      <c r="G242" s="11"/>
      <c r="H242" s="11"/>
      <c r="I242" s="11"/>
      <c r="J242" s="2"/>
      <c r="O242" s="188"/>
    </row>
    <row r="243" spans="1:15" ht="12.75">
      <c r="A243" s="84"/>
      <c r="B243" s="11"/>
      <c r="C243" s="11"/>
      <c r="D243" s="11" t="s">
        <v>26</v>
      </c>
      <c r="E243" s="11"/>
      <c r="F243" s="11"/>
      <c r="G243" s="11"/>
      <c r="H243" s="11"/>
      <c r="I243" s="11"/>
      <c r="J243" s="2" t="s">
        <v>79</v>
      </c>
      <c r="K243" s="9">
        <f>ROUND(K241*0.25,2)</f>
        <v>15849.09</v>
      </c>
      <c r="O243" s="188"/>
    </row>
    <row r="244" spans="1:15" ht="12.75">
      <c r="A244" s="84"/>
      <c r="B244" s="11"/>
      <c r="C244" s="11" t="s">
        <v>76</v>
      </c>
      <c r="D244" s="238">
        <v>50274</v>
      </c>
      <c r="E244" s="11" t="s">
        <v>78</v>
      </c>
      <c r="F244" s="11"/>
      <c r="G244" s="11"/>
      <c r="H244" s="11"/>
      <c r="I244" s="11"/>
      <c r="J244" s="2" t="s">
        <v>80</v>
      </c>
      <c r="K244" s="3">
        <f>ROUND(K241-K243,2)</f>
        <v>47547.28</v>
      </c>
      <c r="O244" s="188"/>
    </row>
    <row r="245" spans="1:15" ht="12.75">
      <c r="A245" s="84"/>
      <c r="B245" s="11"/>
      <c r="C245" s="11"/>
      <c r="D245" s="11"/>
      <c r="E245" s="11"/>
      <c r="F245" s="11"/>
      <c r="G245" s="11"/>
      <c r="H245" s="11"/>
      <c r="I245" s="11"/>
      <c r="J245" s="2"/>
      <c r="K245" s="9"/>
      <c r="O245" s="188"/>
    </row>
    <row r="246" spans="1:15" ht="12.75">
      <c r="A246" s="84"/>
      <c r="B246" s="11"/>
      <c r="C246" s="11"/>
      <c r="D246" s="11" t="s">
        <v>296</v>
      </c>
      <c r="E246" s="11"/>
      <c r="F246" s="11"/>
      <c r="G246" s="11"/>
      <c r="H246" s="11"/>
      <c r="I246" s="11"/>
      <c r="J246" s="2" t="s">
        <v>81</v>
      </c>
      <c r="K246" s="3">
        <f>ROUND(K244/D244,2)</f>
        <v>0.95</v>
      </c>
      <c r="O246" s="188"/>
    </row>
    <row r="247" spans="1:15" ht="12.75">
      <c r="A247" s="84"/>
      <c r="B247" s="11"/>
      <c r="C247" s="11"/>
      <c r="D247" s="11"/>
      <c r="E247" s="11"/>
      <c r="F247" s="11"/>
      <c r="G247" s="11"/>
      <c r="H247" s="11"/>
      <c r="I247" s="11"/>
      <c r="J247" s="2"/>
      <c r="O247" s="188"/>
    </row>
    <row r="248" spans="1:15" ht="12.75">
      <c r="A248" s="84"/>
      <c r="B248" s="11"/>
      <c r="C248" s="11" t="s">
        <v>13</v>
      </c>
      <c r="D248" s="11" t="s">
        <v>24</v>
      </c>
      <c r="E248" s="11"/>
      <c r="F248" s="11"/>
      <c r="G248" s="574">
        <v>42749</v>
      </c>
      <c r="H248" s="11"/>
      <c r="I248" s="11"/>
      <c r="J248" s="2" t="s">
        <v>82</v>
      </c>
      <c r="K248" s="3">
        <f>ROUND(G248*K246,2)</f>
        <v>40611.55</v>
      </c>
      <c r="O248" s="188"/>
    </row>
    <row r="249" spans="1:15" ht="12.75">
      <c r="A249" s="84"/>
      <c r="B249" s="11"/>
      <c r="C249" s="11"/>
      <c r="D249" s="11"/>
      <c r="E249" s="11"/>
      <c r="F249" s="11"/>
      <c r="G249" s="574"/>
      <c r="H249" s="11"/>
      <c r="I249" s="11"/>
      <c r="J249" s="2"/>
      <c r="O249" s="188"/>
    </row>
    <row r="250" spans="1:15" ht="12.75">
      <c r="A250" s="84"/>
      <c r="B250" s="11"/>
      <c r="C250" s="11"/>
      <c r="D250" s="11"/>
      <c r="E250" s="11"/>
      <c r="F250" s="11"/>
      <c r="G250" s="574"/>
      <c r="H250" s="11"/>
      <c r="I250" s="11"/>
      <c r="J250" s="2"/>
      <c r="O250" s="188"/>
    </row>
    <row r="251" spans="1:15" ht="12.75">
      <c r="A251" s="84"/>
      <c r="B251" s="11"/>
      <c r="C251" s="11"/>
      <c r="D251" s="11" t="s">
        <v>31</v>
      </c>
      <c r="E251" s="11"/>
      <c r="F251" s="11"/>
      <c r="G251" s="239">
        <f>D244-G248</f>
        <v>7525</v>
      </c>
      <c r="H251" s="11"/>
      <c r="I251" s="11"/>
      <c r="J251" s="2" t="s">
        <v>298</v>
      </c>
      <c r="K251" s="3">
        <f>ROUND(G251*K246,2)</f>
        <v>7148.75</v>
      </c>
      <c r="O251" s="188"/>
    </row>
    <row r="252" spans="1:15" ht="12.75">
      <c r="A252" s="84"/>
      <c r="B252" s="11"/>
      <c r="C252" s="11"/>
      <c r="D252" s="11" t="s">
        <v>295</v>
      </c>
      <c r="E252" s="11"/>
      <c r="F252" s="11"/>
      <c r="G252" s="8"/>
      <c r="H252" s="11"/>
      <c r="I252" s="11"/>
      <c r="J252" s="2"/>
      <c r="O252" s="188"/>
    </row>
    <row r="253" spans="1:15" ht="12.75">
      <c r="A253" s="84"/>
      <c r="B253" s="11"/>
      <c r="C253" s="11"/>
      <c r="D253" s="11"/>
      <c r="E253" s="11"/>
      <c r="F253" s="11"/>
      <c r="G253" s="239"/>
      <c r="H253" s="11"/>
      <c r="I253" s="11"/>
      <c r="J253" s="2"/>
      <c r="O253" s="188"/>
    </row>
    <row r="254" spans="1:15" ht="12.75">
      <c r="A254" s="84"/>
      <c r="B254" s="11"/>
      <c r="C254" s="11"/>
      <c r="D254" s="11" t="s">
        <v>301</v>
      </c>
      <c r="E254" s="11"/>
      <c r="F254" s="11"/>
      <c r="G254" s="11"/>
      <c r="H254" s="11"/>
      <c r="I254" s="11"/>
      <c r="J254" s="2" t="s">
        <v>299</v>
      </c>
      <c r="K254" s="180">
        <f>K244-K248-K251</f>
        <v>-213.02000000000407</v>
      </c>
      <c r="O254" s="188"/>
    </row>
    <row r="255" spans="1:15" ht="12.75">
      <c r="A255" s="84"/>
      <c r="B255" s="11"/>
      <c r="C255" s="11"/>
      <c r="D255" s="11"/>
      <c r="E255" s="11"/>
      <c r="F255" s="11"/>
      <c r="G255" s="11"/>
      <c r="H255" s="11"/>
      <c r="I255" s="11"/>
      <c r="J255" s="2"/>
      <c r="K255" s="180"/>
      <c r="O255" s="188"/>
    </row>
    <row r="256" spans="1:15" ht="12.75">
      <c r="A256" s="153" t="s">
        <v>33</v>
      </c>
      <c r="B256" s="8" t="s">
        <v>34</v>
      </c>
      <c r="C256" s="11"/>
      <c r="D256" s="11"/>
      <c r="E256" s="11"/>
      <c r="F256" s="11"/>
      <c r="G256" s="11"/>
      <c r="H256" s="11"/>
      <c r="I256" s="11"/>
      <c r="J256" s="2"/>
      <c r="K256" s="6"/>
      <c r="O256" s="188"/>
    </row>
    <row r="257" spans="1:15" ht="12.75">
      <c r="A257" s="84"/>
      <c r="B257" s="11"/>
      <c r="C257" s="11"/>
      <c r="D257" s="11"/>
      <c r="E257" s="11"/>
      <c r="F257" s="11"/>
      <c r="G257" s="11"/>
      <c r="H257" s="11"/>
      <c r="I257" s="11"/>
      <c r="J257" s="2"/>
      <c r="O257" s="188"/>
    </row>
    <row r="258" spans="1:15" ht="12.75">
      <c r="A258" s="84"/>
      <c r="B258" s="8" t="s">
        <v>307</v>
      </c>
      <c r="C258" s="8" t="s">
        <v>35</v>
      </c>
      <c r="D258" s="11"/>
      <c r="E258" s="11"/>
      <c r="F258" s="11"/>
      <c r="G258" s="11"/>
      <c r="H258" s="11"/>
      <c r="I258" s="11"/>
      <c r="J258" s="2"/>
      <c r="O258" s="188"/>
    </row>
    <row r="259" spans="1:15" ht="12.75">
      <c r="A259" s="84"/>
      <c r="B259" s="11" t="s">
        <v>330</v>
      </c>
      <c r="C259" s="11"/>
      <c r="D259" s="11"/>
      <c r="E259" s="11"/>
      <c r="F259" s="11"/>
      <c r="G259" s="11"/>
      <c r="H259" s="11"/>
      <c r="I259" s="11"/>
      <c r="J259" s="2"/>
      <c r="O259" s="188"/>
    </row>
    <row r="260" spans="1:15" ht="12.75">
      <c r="A260" s="84"/>
      <c r="B260" s="11"/>
      <c r="C260" s="11"/>
      <c r="D260" s="11"/>
      <c r="E260" s="11"/>
      <c r="F260" s="11"/>
      <c r="G260" s="173" t="s">
        <v>36</v>
      </c>
      <c r="H260" s="11"/>
      <c r="I260" s="173" t="s">
        <v>37</v>
      </c>
      <c r="J260" s="2"/>
      <c r="K260" s="10" t="s">
        <v>38</v>
      </c>
      <c r="O260" s="188"/>
    </row>
    <row r="261" spans="1:15" ht="12.75">
      <c r="A261" s="84"/>
      <c r="B261" s="11"/>
      <c r="C261" s="11"/>
      <c r="D261" s="11"/>
      <c r="E261" s="11"/>
      <c r="F261" s="11"/>
      <c r="G261" s="173" t="s">
        <v>39</v>
      </c>
      <c r="H261" s="11"/>
      <c r="I261" s="173"/>
      <c r="J261" s="2"/>
      <c r="K261" s="10" t="s">
        <v>40</v>
      </c>
      <c r="O261" s="188"/>
    </row>
    <row r="262" spans="1:15" ht="12.75">
      <c r="A262" s="84"/>
      <c r="B262" s="176"/>
      <c r="C262" s="176"/>
      <c r="D262" s="176"/>
      <c r="E262" s="176"/>
      <c r="F262" s="176"/>
      <c r="G262" s="181"/>
      <c r="H262" s="176"/>
      <c r="I262" s="181" t="s">
        <v>100</v>
      </c>
      <c r="J262" s="96"/>
      <c r="K262" s="12" t="s">
        <v>111</v>
      </c>
      <c r="L262" s="86"/>
      <c r="M262" s="86"/>
      <c r="N262" s="86"/>
      <c r="O262" s="189"/>
    </row>
    <row r="263" spans="1:15" ht="12.75">
      <c r="A263" s="84"/>
      <c r="B263" s="11"/>
      <c r="C263" s="11"/>
      <c r="D263" s="11"/>
      <c r="E263" s="11"/>
      <c r="F263" s="11"/>
      <c r="G263" s="11"/>
      <c r="H263" s="11"/>
      <c r="I263" s="11"/>
      <c r="J263" s="2"/>
      <c r="O263" s="187"/>
    </row>
    <row r="264" spans="1:15" ht="12.75">
      <c r="A264" s="182"/>
      <c r="B264" s="168" t="s">
        <v>431</v>
      </c>
      <c r="C264" s="168"/>
      <c r="D264" s="168"/>
      <c r="E264" s="168"/>
      <c r="F264" s="168"/>
      <c r="G264" s="575">
        <f>G233</f>
        <v>43597</v>
      </c>
      <c r="H264" s="168"/>
      <c r="I264" s="184">
        <f>K231</f>
        <v>1.89</v>
      </c>
      <c r="J264" s="157" t="s">
        <v>81</v>
      </c>
      <c r="K264" s="159">
        <f>G264*I264</f>
        <v>82398.33</v>
      </c>
      <c r="L264" s="92"/>
      <c r="O264" s="190"/>
    </row>
    <row r="265" spans="1:15" ht="12.75">
      <c r="A265" s="169"/>
      <c r="B265" s="11"/>
      <c r="C265" s="11"/>
      <c r="D265" s="11"/>
      <c r="E265" s="11"/>
      <c r="F265" s="11"/>
      <c r="G265" s="11"/>
      <c r="H265" s="11"/>
      <c r="I265" s="170"/>
      <c r="J265" s="2"/>
      <c r="O265" s="188"/>
    </row>
    <row r="266" spans="1:15" ht="12.75">
      <c r="A266" s="182"/>
      <c r="B266" s="168" t="s">
        <v>432</v>
      </c>
      <c r="C266" s="168"/>
      <c r="D266" s="168"/>
      <c r="E266" s="168"/>
      <c r="F266" s="168"/>
      <c r="G266" s="575">
        <f>G248</f>
        <v>42749</v>
      </c>
      <c r="H266" s="168"/>
      <c r="I266" s="184">
        <f>K246</f>
        <v>0.95</v>
      </c>
      <c r="J266" s="157" t="s">
        <v>82</v>
      </c>
      <c r="K266" s="195">
        <f>G266*I266</f>
        <v>40611.549999999996</v>
      </c>
      <c r="L266" s="92"/>
      <c r="O266" s="190"/>
    </row>
    <row r="267" spans="1:15" ht="12.75">
      <c r="A267" s="84"/>
      <c r="B267" s="11"/>
      <c r="C267" s="11"/>
      <c r="D267" s="11"/>
      <c r="E267" s="11"/>
      <c r="F267" s="11"/>
      <c r="G267" s="11"/>
      <c r="H267" s="11"/>
      <c r="I267" s="11"/>
      <c r="K267" s="3">
        <f>SUM(K264:K266)</f>
        <v>123009.88</v>
      </c>
      <c r="O267" s="188"/>
    </row>
    <row r="268" spans="1:15" ht="12.75">
      <c r="A268" s="85"/>
      <c r="B268" s="176"/>
      <c r="C268" s="176"/>
      <c r="D268" s="176"/>
      <c r="E268" s="176"/>
      <c r="F268" s="176"/>
      <c r="G268" s="176"/>
      <c r="H268" s="176"/>
      <c r="I268" s="176"/>
      <c r="J268" s="86"/>
      <c r="K268" s="196"/>
      <c r="L268" s="86"/>
      <c r="M268" s="86"/>
      <c r="N268" s="86"/>
      <c r="O268" s="189"/>
    </row>
    <row r="269" spans="2:11" ht="12.75">
      <c r="B269" s="11"/>
      <c r="C269" s="11"/>
      <c r="D269" s="11"/>
      <c r="E269" s="11"/>
      <c r="F269" s="11"/>
      <c r="G269" s="11"/>
      <c r="H269" s="11"/>
      <c r="I269" s="11"/>
      <c r="K269" s="8"/>
    </row>
    <row r="270" spans="2:11" ht="12.75">
      <c r="B270" s="11"/>
      <c r="C270" s="11"/>
      <c r="D270" s="11"/>
      <c r="E270" s="11"/>
      <c r="F270" s="11"/>
      <c r="G270" s="11"/>
      <c r="H270" s="11"/>
      <c r="I270" s="11"/>
      <c r="K270" s="8"/>
    </row>
    <row r="271" spans="2:11" ht="12.75">
      <c r="B271" s="11"/>
      <c r="C271" s="11"/>
      <c r="D271" s="11"/>
      <c r="E271" s="11"/>
      <c r="F271" s="11"/>
      <c r="G271" s="11"/>
      <c r="H271" s="11"/>
      <c r="I271" s="11"/>
      <c r="K271" s="8"/>
    </row>
    <row r="272" spans="2:11" ht="12.75">
      <c r="B272" s="11"/>
      <c r="C272" s="11"/>
      <c r="D272" s="11"/>
      <c r="E272" s="11"/>
      <c r="F272" s="11"/>
      <c r="G272" s="11"/>
      <c r="H272" s="11"/>
      <c r="I272" s="11"/>
      <c r="K272" s="8"/>
    </row>
    <row r="273" spans="1:15" ht="12.75">
      <c r="A273" s="84"/>
      <c r="B273" s="11"/>
      <c r="C273" s="11"/>
      <c r="D273" s="11"/>
      <c r="E273" s="11"/>
      <c r="F273" s="11"/>
      <c r="G273" s="11"/>
      <c r="H273" s="11"/>
      <c r="I273" s="11"/>
      <c r="K273" s="8"/>
      <c r="O273" s="188"/>
    </row>
    <row r="274" spans="1:15" ht="12.75">
      <c r="A274" s="84"/>
      <c r="B274" s="11"/>
      <c r="C274" s="363" t="s">
        <v>433</v>
      </c>
      <c r="D274" s="363"/>
      <c r="E274" s="363"/>
      <c r="F274" s="363"/>
      <c r="G274" s="363"/>
      <c r="H274" s="11"/>
      <c r="I274" s="11"/>
      <c r="K274" s="8"/>
      <c r="O274" s="188"/>
    </row>
    <row r="275" spans="1:15" ht="12.75">
      <c r="A275" s="84"/>
      <c r="B275" s="11"/>
      <c r="C275" s="11"/>
      <c r="D275" s="11"/>
      <c r="E275" s="11"/>
      <c r="F275" s="11"/>
      <c r="G275" s="11"/>
      <c r="H275" s="11"/>
      <c r="I275" s="11"/>
      <c r="K275" s="8"/>
      <c r="O275" s="188"/>
    </row>
    <row r="276" spans="1:15" ht="12.75">
      <c r="A276" s="84"/>
      <c r="B276" s="11"/>
      <c r="C276" s="11" t="s">
        <v>61</v>
      </c>
      <c r="D276" s="171"/>
      <c r="E276" s="11"/>
      <c r="F276" s="11"/>
      <c r="G276" s="13"/>
      <c r="H276" s="11"/>
      <c r="I276" s="11"/>
      <c r="O276" s="188"/>
    </row>
    <row r="277" spans="1:15" ht="12.75">
      <c r="A277" s="84"/>
      <c r="B277" s="11"/>
      <c r="C277" s="11"/>
      <c r="D277" s="171"/>
      <c r="E277" s="11"/>
      <c r="F277" s="11"/>
      <c r="G277" s="13"/>
      <c r="H277" s="11"/>
      <c r="I277" s="11"/>
      <c r="O277" s="188"/>
    </row>
    <row r="278" spans="1:15" ht="12.75">
      <c r="A278" s="84"/>
      <c r="B278" s="11"/>
      <c r="C278" s="14" t="s">
        <v>62</v>
      </c>
      <c r="D278" s="226">
        <v>50399</v>
      </c>
      <c r="E278" s="14" t="s">
        <v>103</v>
      </c>
      <c r="F278" s="14">
        <v>2</v>
      </c>
      <c r="G278" s="14" t="s">
        <v>460</v>
      </c>
      <c r="H278" s="14"/>
      <c r="I278" s="14"/>
      <c r="J278" s="14" t="s">
        <v>63</v>
      </c>
      <c r="K278" s="198">
        <f>ROUND(D278*F278,0)</f>
        <v>100798</v>
      </c>
      <c r="O278" s="188"/>
    </row>
    <row r="279" spans="1:15" ht="12.75">
      <c r="A279" s="84"/>
      <c r="B279" s="11"/>
      <c r="C279" s="14" t="s">
        <v>65</v>
      </c>
      <c r="D279" s="226">
        <v>50274</v>
      </c>
      <c r="E279" s="15" t="s">
        <v>103</v>
      </c>
      <c r="F279" s="14">
        <v>1</v>
      </c>
      <c r="G279" s="18" t="s">
        <v>459</v>
      </c>
      <c r="H279" s="14"/>
      <c r="I279" s="14"/>
      <c r="J279" s="14" t="s">
        <v>63</v>
      </c>
      <c r="K279" s="199">
        <f>ROUND(D279*F279,0)</f>
        <v>50274</v>
      </c>
      <c r="O279" s="188"/>
    </row>
    <row r="280" spans="1:15" ht="12.75">
      <c r="A280" s="84"/>
      <c r="B280" s="11"/>
      <c r="C280" s="14"/>
      <c r="D280" s="14"/>
      <c r="E280" s="15"/>
      <c r="F280" s="15"/>
      <c r="G280" s="16"/>
      <c r="H280" s="14"/>
      <c r="I280" s="17" t="s">
        <v>66</v>
      </c>
      <c r="J280" s="14" t="s">
        <v>63</v>
      </c>
      <c r="K280" s="198">
        <f>SUM(K278:K279)</f>
        <v>151072</v>
      </c>
      <c r="O280" s="188"/>
    </row>
    <row r="281" spans="1:15" ht="12.75">
      <c r="A281" s="84"/>
      <c r="B281" s="11"/>
      <c r="C281" s="11"/>
      <c r="D281" s="171"/>
      <c r="E281" s="11"/>
      <c r="F281" s="11"/>
      <c r="G281" s="11"/>
      <c r="H281" s="11"/>
      <c r="I281" s="11"/>
      <c r="K281" s="170"/>
      <c r="O281" s="188"/>
    </row>
    <row r="282" spans="1:15" ht="12.75">
      <c r="A282" s="84"/>
      <c r="B282" s="11"/>
      <c r="C282" s="14" t="s">
        <v>67</v>
      </c>
      <c r="D282" s="14"/>
      <c r="E282" s="14"/>
      <c r="F282" s="11"/>
      <c r="G282" s="191">
        <f>O130</f>
        <v>190018.93</v>
      </c>
      <c r="H282" s="14" t="s">
        <v>100</v>
      </c>
      <c r="I282" s="14"/>
      <c r="K282" s="17"/>
      <c r="O282" s="188"/>
    </row>
    <row r="283" spans="1:15" ht="12.75">
      <c r="A283" s="84"/>
      <c r="B283" s="11"/>
      <c r="C283" s="14"/>
      <c r="D283" s="14"/>
      <c r="E283" s="14"/>
      <c r="F283" s="11"/>
      <c r="G283" s="224">
        <f>K280</f>
        <v>151072</v>
      </c>
      <c r="H283" s="14" t="s">
        <v>64</v>
      </c>
      <c r="I283" s="15" t="s">
        <v>68</v>
      </c>
      <c r="K283" s="197">
        <f>G282/G283</f>
        <v>1.2578037624443974</v>
      </c>
      <c r="O283" s="188"/>
    </row>
    <row r="284" spans="1:15" ht="12.75">
      <c r="A284" s="84"/>
      <c r="B284" s="11"/>
      <c r="C284" s="218" t="s">
        <v>69</v>
      </c>
      <c r="D284" s="14"/>
      <c r="E284" s="225"/>
      <c r="F284" s="11"/>
      <c r="G284" s="14"/>
      <c r="H284" s="14"/>
      <c r="I284" s="14"/>
      <c r="K284" s="192" t="s">
        <v>70</v>
      </c>
      <c r="O284" s="188"/>
    </row>
    <row r="285" spans="1:15" ht="12.75">
      <c r="A285" s="84"/>
      <c r="B285" s="11"/>
      <c r="C285" s="226"/>
      <c r="D285" s="11"/>
      <c r="E285" s="11"/>
      <c r="F285" s="11"/>
      <c r="G285" s="11"/>
      <c r="H285" s="11"/>
      <c r="I285" s="11"/>
      <c r="K285" s="170"/>
      <c r="O285" s="188"/>
    </row>
    <row r="286" spans="1:15" ht="12.75">
      <c r="A286" s="84"/>
      <c r="B286" s="11"/>
      <c r="C286" s="14" t="s">
        <v>6</v>
      </c>
      <c r="D286" s="14" t="s">
        <v>62</v>
      </c>
      <c r="E286" s="573">
        <v>50399</v>
      </c>
      <c r="F286" s="15" t="s">
        <v>71</v>
      </c>
      <c r="G286" s="227">
        <f>K283</f>
        <v>1.2578037624443974</v>
      </c>
      <c r="H286" s="15" t="s">
        <v>71</v>
      </c>
      <c r="I286" s="15">
        <v>2</v>
      </c>
      <c r="J286" s="97" t="s">
        <v>63</v>
      </c>
      <c r="K286" s="17">
        <f>ROUND(E286*G286*I286,2)</f>
        <v>126784.1</v>
      </c>
      <c r="O286" s="188"/>
    </row>
    <row r="287" spans="1:15" ht="12.75">
      <c r="A287" s="84"/>
      <c r="B287" s="11"/>
      <c r="C287" s="14"/>
      <c r="D287" s="14" t="s">
        <v>65</v>
      </c>
      <c r="E287" s="573">
        <v>50274</v>
      </c>
      <c r="F287" s="15" t="s">
        <v>72</v>
      </c>
      <c r="G287" s="227">
        <f>K283</f>
        <v>1.2578037624443974</v>
      </c>
      <c r="H287" s="15" t="s">
        <v>71</v>
      </c>
      <c r="I287" s="15">
        <v>1</v>
      </c>
      <c r="J287" s="97" t="s">
        <v>63</v>
      </c>
      <c r="K287" s="191">
        <f>ROUND(E287*G287*I287,2)</f>
        <v>63234.83</v>
      </c>
      <c r="O287" s="188"/>
    </row>
    <row r="288" spans="1:15" ht="12.75">
      <c r="A288" s="84"/>
      <c r="B288" s="11"/>
      <c r="C288" s="14" t="s">
        <v>73</v>
      </c>
      <c r="D288" s="14"/>
      <c r="E288" s="14"/>
      <c r="F288" s="14"/>
      <c r="G288" s="14"/>
      <c r="H288" s="14"/>
      <c r="I288" s="14"/>
      <c r="J288" s="66"/>
      <c r="K288" s="17">
        <f>SUM(K286:K287)</f>
        <v>190018.93</v>
      </c>
      <c r="O288" s="188"/>
    </row>
    <row r="289" spans="1:15" ht="12.75">
      <c r="A289" s="84"/>
      <c r="B289" s="11"/>
      <c r="C289" s="11"/>
      <c r="D289" s="11"/>
      <c r="E289" s="11"/>
      <c r="F289" s="11"/>
      <c r="G289" s="11"/>
      <c r="H289" s="11"/>
      <c r="I289" s="11"/>
      <c r="K289" s="8"/>
      <c r="O289" s="188"/>
    </row>
    <row r="290" spans="1:15" ht="12.75">
      <c r="A290" s="84"/>
      <c r="B290" s="11"/>
      <c r="C290" s="11" t="s">
        <v>74</v>
      </c>
      <c r="D290" s="11"/>
      <c r="E290" s="11"/>
      <c r="F290" s="11"/>
      <c r="G290" s="11"/>
      <c r="H290" s="11"/>
      <c r="I290" s="11"/>
      <c r="K290" s="3">
        <f>K288</f>
        <v>190018.93</v>
      </c>
      <c r="O290" s="188"/>
    </row>
    <row r="291" spans="1:15" ht="12.75">
      <c r="A291" s="84"/>
      <c r="B291" s="11"/>
      <c r="C291" s="11" t="s">
        <v>434</v>
      </c>
      <c r="D291" s="11"/>
      <c r="E291" s="11"/>
      <c r="F291" s="11"/>
      <c r="G291" s="11"/>
      <c r="H291" s="11"/>
      <c r="I291" s="11"/>
      <c r="K291" s="9">
        <f>O127</f>
        <v>190018.93</v>
      </c>
      <c r="O291" s="188"/>
    </row>
    <row r="292" spans="1:15" ht="12.75">
      <c r="A292" s="84"/>
      <c r="B292" s="11"/>
      <c r="C292" s="11" t="s">
        <v>75</v>
      </c>
      <c r="D292" s="11"/>
      <c r="E292" s="11"/>
      <c r="F292" s="11"/>
      <c r="G292" s="11"/>
      <c r="H292" s="11"/>
      <c r="I292" s="11"/>
      <c r="K292" s="3">
        <f>K291-K288</f>
        <v>0</v>
      </c>
      <c r="O292" s="188"/>
    </row>
    <row r="293" spans="1:15" ht="12.75">
      <c r="A293" s="84"/>
      <c r="B293" s="11"/>
      <c r="C293" s="11"/>
      <c r="D293" s="11"/>
      <c r="E293" s="11"/>
      <c r="F293" s="11"/>
      <c r="G293" s="11"/>
      <c r="H293" s="11"/>
      <c r="I293" s="11"/>
      <c r="K293" s="8"/>
      <c r="O293" s="188"/>
    </row>
    <row r="294" spans="1:15" ht="12.75">
      <c r="A294" s="84"/>
      <c r="B294" s="11"/>
      <c r="C294" s="11"/>
      <c r="D294" s="11"/>
      <c r="E294" s="11"/>
      <c r="F294" s="11"/>
      <c r="G294" s="11"/>
      <c r="H294" s="11"/>
      <c r="I294" s="11"/>
      <c r="K294" s="8"/>
      <c r="O294" s="188"/>
    </row>
    <row r="295" spans="1:15" ht="12.75">
      <c r="A295" s="84"/>
      <c r="B295" s="11"/>
      <c r="C295" s="11" t="s">
        <v>509</v>
      </c>
      <c r="D295" s="11"/>
      <c r="E295" s="11"/>
      <c r="F295" s="11"/>
      <c r="G295" s="11"/>
      <c r="H295" s="11"/>
      <c r="I295" s="218"/>
      <c r="J295" s="2" t="s">
        <v>23</v>
      </c>
      <c r="K295" s="3">
        <f>K286</f>
        <v>126784.1</v>
      </c>
      <c r="O295" s="188"/>
    </row>
    <row r="296" spans="1:15" ht="12.75">
      <c r="A296" s="84"/>
      <c r="B296" s="11"/>
      <c r="C296" s="11"/>
      <c r="D296" s="11"/>
      <c r="E296" s="11"/>
      <c r="F296" s="11"/>
      <c r="G296" s="11"/>
      <c r="H296" s="11"/>
      <c r="I296" s="218"/>
      <c r="J296" s="2"/>
      <c r="O296" s="188"/>
    </row>
    <row r="297" spans="1:15" ht="12.75">
      <c r="A297" s="84"/>
      <c r="B297" s="11"/>
      <c r="C297" s="11"/>
      <c r="D297" s="11" t="s">
        <v>26</v>
      </c>
      <c r="E297" s="11"/>
      <c r="F297" s="11"/>
      <c r="G297" s="11"/>
      <c r="H297" s="11"/>
      <c r="I297" s="11"/>
      <c r="J297" s="2" t="s">
        <v>25</v>
      </c>
      <c r="K297" s="9">
        <f>ROUND(K295*0.25,2)</f>
        <v>31696.03</v>
      </c>
      <c r="O297" s="188"/>
    </row>
    <row r="298" spans="1:15" ht="12.75">
      <c r="A298" s="84"/>
      <c r="B298" s="11"/>
      <c r="C298" s="11" t="s">
        <v>76</v>
      </c>
      <c r="D298" s="238">
        <v>50399</v>
      </c>
      <c r="E298" s="11" t="s">
        <v>77</v>
      </c>
      <c r="F298" s="11"/>
      <c r="G298" s="11"/>
      <c r="H298" s="11"/>
      <c r="I298" s="11"/>
      <c r="J298" s="2" t="s">
        <v>27</v>
      </c>
      <c r="K298" s="3">
        <f>ROUND(K295-K297,2)</f>
        <v>95088.07</v>
      </c>
      <c r="O298" s="188"/>
    </row>
    <row r="299" spans="1:15" ht="12.75">
      <c r="A299" s="84"/>
      <c r="B299" s="11"/>
      <c r="C299" s="11"/>
      <c r="D299" s="238"/>
      <c r="E299" s="11"/>
      <c r="F299" s="11"/>
      <c r="G299" s="11"/>
      <c r="H299" s="11"/>
      <c r="I299" s="11"/>
      <c r="J299" s="2"/>
      <c r="O299" s="188"/>
    </row>
    <row r="300" spans="1:15" ht="12.75">
      <c r="A300" s="84"/>
      <c r="B300" s="11"/>
      <c r="C300" s="11"/>
      <c r="D300" s="11" t="s">
        <v>296</v>
      </c>
      <c r="E300" s="11"/>
      <c r="F300" s="11"/>
      <c r="G300" s="11"/>
      <c r="H300" s="11"/>
      <c r="I300" s="11"/>
      <c r="J300" s="2" t="s">
        <v>28</v>
      </c>
      <c r="K300" s="3">
        <f>ROUND(K298/D298,2)</f>
        <v>1.89</v>
      </c>
      <c r="O300" s="188"/>
    </row>
    <row r="301" spans="1:15" ht="12.75">
      <c r="A301" s="84"/>
      <c r="B301" s="11"/>
      <c r="C301" s="11"/>
      <c r="D301" s="11"/>
      <c r="E301" s="11"/>
      <c r="F301" s="11"/>
      <c r="G301" s="11"/>
      <c r="H301" s="11"/>
      <c r="I301" s="11"/>
      <c r="J301" s="2"/>
      <c r="O301" s="188"/>
    </row>
    <row r="302" spans="1:15" ht="12.75">
      <c r="A302" s="84"/>
      <c r="B302" s="11"/>
      <c r="C302" s="11" t="s">
        <v>13</v>
      </c>
      <c r="D302" s="11" t="s">
        <v>24</v>
      </c>
      <c r="E302" s="11"/>
      <c r="F302" s="11"/>
      <c r="G302" s="239">
        <v>43597</v>
      </c>
      <c r="H302" s="11"/>
      <c r="I302" s="11"/>
      <c r="J302" s="2" t="s">
        <v>29</v>
      </c>
      <c r="K302" s="3">
        <f>ROUND(G302*K300,2)</f>
        <v>82398.33</v>
      </c>
      <c r="O302" s="188"/>
    </row>
    <row r="303" spans="1:15" ht="12.75">
      <c r="A303" s="84"/>
      <c r="B303" s="11"/>
      <c r="C303" s="11"/>
      <c r="D303" s="11"/>
      <c r="E303" s="11"/>
      <c r="F303" s="11"/>
      <c r="G303" s="239"/>
      <c r="H303" s="11"/>
      <c r="I303" s="11"/>
      <c r="J303" s="2"/>
      <c r="O303" s="188"/>
    </row>
    <row r="304" spans="1:15" ht="12.75">
      <c r="A304" s="84"/>
      <c r="B304" s="11"/>
      <c r="C304" s="11"/>
      <c r="D304" s="11" t="s">
        <v>31</v>
      </c>
      <c r="E304" s="11"/>
      <c r="F304" s="11"/>
      <c r="G304" s="239">
        <f>D298-G302</f>
        <v>6802</v>
      </c>
      <c r="H304" s="11"/>
      <c r="I304" s="11"/>
      <c r="J304" s="2" t="s">
        <v>30</v>
      </c>
      <c r="K304" s="3">
        <f>ROUND(G304*K300,2)</f>
        <v>12855.78</v>
      </c>
      <c r="O304" s="188"/>
    </row>
    <row r="305" spans="1:15" ht="12.75">
      <c r="A305" s="84"/>
      <c r="B305" s="11"/>
      <c r="C305" s="11"/>
      <c r="D305" s="11" t="s">
        <v>295</v>
      </c>
      <c r="E305" s="11"/>
      <c r="F305" s="11"/>
      <c r="G305" s="8"/>
      <c r="H305" s="11"/>
      <c r="I305" s="11"/>
      <c r="J305" s="2"/>
      <c r="O305" s="188"/>
    </row>
    <row r="306" spans="1:15" ht="12.75">
      <c r="A306" s="84"/>
      <c r="B306" s="11"/>
      <c r="C306" s="11"/>
      <c r="D306" s="353"/>
      <c r="E306" s="353"/>
      <c r="F306" s="353"/>
      <c r="G306" s="358"/>
      <c r="H306" s="353"/>
      <c r="I306" s="11"/>
      <c r="J306" s="2"/>
      <c r="O306" s="188"/>
    </row>
    <row r="307" spans="1:15" ht="12.75">
      <c r="A307" s="84"/>
      <c r="B307" s="11"/>
      <c r="C307" s="11"/>
      <c r="D307" s="11" t="s">
        <v>297</v>
      </c>
      <c r="E307" s="11"/>
      <c r="F307" s="11"/>
      <c r="G307" s="11"/>
      <c r="H307" s="11"/>
      <c r="I307" s="11"/>
      <c r="J307" s="2" t="s">
        <v>32</v>
      </c>
      <c r="K307" s="180">
        <f>K298-K302-K304</f>
        <v>-166.03999999999542</v>
      </c>
      <c r="O307" s="188"/>
    </row>
    <row r="308" spans="1:15" ht="12.75">
      <c r="A308" s="84"/>
      <c r="B308" s="11"/>
      <c r="C308" s="11"/>
      <c r="D308" s="11"/>
      <c r="E308" s="11"/>
      <c r="F308" s="11"/>
      <c r="G308" s="11"/>
      <c r="H308" s="11"/>
      <c r="I308" s="11"/>
      <c r="J308" s="2"/>
      <c r="O308" s="188"/>
    </row>
    <row r="309" spans="1:15" ht="12.75">
      <c r="A309" s="84"/>
      <c r="B309" s="11"/>
      <c r="C309" s="11"/>
      <c r="D309" s="11"/>
      <c r="E309" s="11"/>
      <c r="F309" s="11"/>
      <c r="G309" s="11"/>
      <c r="H309" s="11"/>
      <c r="I309" s="11"/>
      <c r="J309" s="2"/>
      <c r="O309" s="188"/>
    </row>
    <row r="310" spans="1:15" ht="12.75">
      <c r="A310" s="84"/>
      <c r="B310" s="11"/>
      <c r="C310" s="11" t="s">
        <v>435</v>
      </c>
      <c r="D310" s="11"/>
      <c r="E310" s="11"/>
      <c r="F310" s="11"/>
      <c r="G310" s="11"/>
      <c r="H310" s="11"/>
      <c r="I310" s="178"/>
      <c r="J310" s="2" t="s">
        <v>41</v>
      </c>
      <c r="K310" s="3">
        <f>K287</f>
        <v>63234.83</v>
      </c>
      <c r="O310" s="188"/>
    </row>
    <row r="311" spans="1:15" ht="12.75">
      <c r="A311" s="84"/>
      <c r="B311" s="11"/>
      <c r="C311" s="11"/>
      <c r="D311" s="238"/>
      <c r="E311" s="11"/>
      <c r="F311" s="11"/>
      <c r="G311" s="11"/>
      <c r="H311" s="11"/>
      <c r="I311" s="11"/>
      <c r="J311" s="2"/>
      <c r="O311" s="188"/>
    </row>
    <row r="312" spans="1:15" ht="12.75">
      <c r="A312" s="84"/>
      <c r="B312" s="11"/>
      <c r="C312" s="11"/>
      <c r="D312" s="11" t="s">
        <v>26</v>
      </c>
      <c r="E312" s="11"/>
      <c r="F312" s="11"/>
      <c r="G312" s="11"/>
      <c r="H312" s="11"/>
      <c r="I312" s="11"/>
      <c r="J312" s="2" t="s">
        <v>79</v>
      </c>
      <c r="K312" s="9">
        <f>ROUND(K310*0.25,2)</f>
        <v>15808.71</v>
      </c>
      <c r="O312" s="188"/>
    </row>
    <row r="313" spans="1:15" ht="12.75">
      <c r="A313" s="84"/>
      <c r="B313" s="11"/>
      <c r="C313" s="11" t="s">
        <v>76</v>
      </c>
      <c r="D313" s="238">
        <v>50274</v>
      </c>
      <c r="E313" s="11" t="s">
        <v>78</v>
      </c>
      <c r="F313" s="11"/>
      <c r="G313" s="11"/>
      <c r="H313" s="11"/>
      <c r="I313" s="11"/>
      <c r="J313" s="2" t="s">
        <v>80</v>
      </c>
      <c r="K313" s="3">
        <f>ROUND(K310-K312,2)</f>
        <v>47426.12</v>
      </c>
      <c r="O313" s="188"/>
    </row>
    <row r="314" spans="1:15" ht="12.75">
      <c r="A314" s="84"/>
      <c r="B314" s="11"/>
      <c r="C314" s="11"/>
      <c r="D314" s="238"/>
      <c r="E314" s="11"/>
      <c r="F314" s="11"/>
      <c r="G314" s="11"/>
      <c r="H314" s="11"/>
      <c r="I314" s="11"/>
      <c r="J314" s="2"/>
      <c r="O314" s="188"/>
    </row>
    <row r="315" spans="1:15" ht="12.75">
      <c r="A315" s="84"/>
      <c r="B315" s="11"/>
      <c r="C315" s="11"/>
      <c r="D315" s="11" t="s">
        <v>296</v>
      </c>
      <c r="E315" s="11"/>
      <c r="F315" s="11"/>
      <c r="G315" s="11"/>
      <c r="H315" s="11"/>
      <c r="I315" s="11"/>
      <c r="J315" s="2" t="s">
        <v>81</v>
      </c>
      <c r="K315" s="3">
        <f>ROUND(K313/D313,2)</f>
        <v>0.94</v>
      </c>
      <c r="L315" s="3"/>
      <c r="O315" s="188"/>
    </row>
    <row r="316" spans="1:15" ht="12.75">
      <c r="A316" s="84"/>
      <c r="B316" s="11"/>
      <c r="C316" s="11"/>
      <c r="D316" s="11"/>
      <c r="E316" s="11"/>
      <c r="F316" s="11"/>
      <c r="G316" s="11"/>
      <c r="H316" s="11"/>
      <c r="I316" s="11"/>
      <c r="J316" s="2"/>
      <c r="L316" s="3"/>
      <c r="O316" s="188"/>
    </row>
    <row r="317" spans="1:15" ht="12.75">
      <c r="A317" s="84"/>
      <c r="B317" s="11"/>
      <c r="C317" s="11" t="s">
        <v>13</v>
      </c>
      <c r="D317" s="11" t="s">
        <v>24</v>
      </c>
      <c r="E317" s="11"/>
      <c r="F317" s="11"/>
      <c r="G317" s="574">
        <v>42749</v>
      </c>
      <c r="H317" s="11"/>
      <c r="I317" s="11"/>
      <c r="J317" s="2" t="s">
        <v>82</v>
      </c>
      <c r="K317" s="3">
        <f>ROUND(G317*K315,2)</f>
        <v>40184.06</v>
      </c>
      <c r="L317" s="3"/>
      <c r="O317" s="188"/>
    </row>
    <row r="318" spans="1:15" ht="12.75">
      <c r="A318" s="84"/>
      <c r="B318" s="11"/>
      <c r="C318" s="11"/>
      <c r="D318" s="11"/>
      <c r="E318" s="11"/>
      <c r="F318" s="11"/>
      <c r="G318" s="574"/>
      <c r="H318" s="11"/>
      <c r="I318" s="11"/>
      <c r="J318" s="2"/>
      <c r="L318" s="3"/>
      <c r="O318" s="188"/>
    </row>
    <row r="319" spans="1:15" ht="12.75">
      <c r="A319" s="85"/>
      <c r="B319" s="176"/>
      <c r="C319" s="176"/>
      <c r="D319" s="176"/>
      <c r="E319" s="176"/>
      <c r="F319" s="176"/>
      <c r="G319" s="576"/>
      <c r="H319" s="176"/>
      <c r="I319" s="176"/>
      <c r="J319" s="96"/>
      <c r="K319" s="4"/>
      <c r="L319" s="4"/>
      <c r="M319" s="86"/>
      <c r="N319" s="86"/>
      <c r="O319" s="189"/>
    </row>
    <row r="320" spans="2:12" ht="12.75">
      <c r="B320" s="11"/>
      <c r="C320" s="11"/>
      <c r="D320" s="11"/>
      <c r="E320" s="11"/>
      <c r="F320" s="11"/>
      <c r="G320" s="574"/>
      <c r="H320" s="11"/>
      <c r="I320" s="11"/>
      <c r="J320" s="2"/>
      <c r="L320" s="3"/>
    </row>
    <row r="321" spans="1:15" ht="12.75">
      <c r="A321" s="84"/>
      <c r="B321" s="11"/>
      <c r="C321" s="11"/>
      <c r="D321" s="11"/>
      <c r="E321" s="11"/>
      <c r="F321" s="11"/>
      <c r="G321" s="574"/>
      <c r="H321" s="11"/>
      <c r="I321" s="11"/>
      <c r="J321" s="2"/>
      <c r="L321" s="3"/>
      <c r="O321" s="188"/>
    </row>
    <row r="322" spans="1:15" ht="12.75">
      <c r="A322" s="82"/>
      <c r="B322" s="165"/>
      <c r="C322" s="165"/>
      <c r="D322" s="165" t="s">
        <v>31</v>
      </c>
      <c r="E322" s="165"/>
      <c r="F322" s="165"/>
      <c r="G322" s="577">
        <f>D313-G317</f>
        <v>7525</v>
      </c>
      <c r="H322" s="165"/>
      <c r="I322" s="165"/>
      <c r="J322" s="75" t="s">
        <v>298</v>
      </c>
      <c r="K322" s="161">
        <f>ROUND(G322*K315,2)</f>
        <v>7073.5</v>
      </c>
      <c r="L322" s="161"/>
      <c r="M322" s="83"/>
      <c r="N322" s="83"/>
      <c r="O322" s="187"/>
    </row>
    <row r="323" spans="1:15" ht="12.75">
      <c r="A323" s="84"/>
      <c r="B323" s="11"/>
      <c r="C323" s="11"/>
      <c r="D323" s="353"/>
      <c r="E323" s="353"/>
      <c r="F323" s="353"/>
      <c r="G323" s="358"/>
      <c r="H323" s="353"/>
      <c r="I323" s="11"/>
      <c r="J323" s="2"/>
      <c r="L323" s="3"/>
      <c r="O323" s="188"/>
    </row>
    <row r="324" spans="1:15" ht="12.75">
      <c r="A324" s="84"/>
      <c r="B324" s="11"/>
      <c r="C324" s="11"/>
      <c r="D324" s="11" t="s">
        <v>295</v>
      </c>
      <c r="E324" s="11"/>
      <c r="F324" s="11"/>
      <c r="G324" s="8"/>
      <c r="H324" s="11"/>
      <c r="I324" s="11"/>
      <c r="J324" s="2"/>
      <c r="L324" s="3"/>
      <c r="O324" s="188"/>
    </row>
    <row r="325" spans="1:15" ht="12.75">
      <c r="A325" s="84"/>
      <c r="B325" s="11"/>
      <c r="C325" s="11"/>
      <c r="D325" s="11"/>
      <c r="E325" s="11"/>
      <c r="F325" s="11"/>
      <c r="G325" s="239"/>
      <c r="H325" s="11"/>
      <c r="I325" s="11"/>
      <c r="J325" s="2"/>
      <c r="L325" s="3"/>
      <c r="O325" s="188"/>
    </row>
    <row r="326" spans="1:15" ht="12.75">
      <c r="A326" s="84"/>
      <c r="B326" s="11"/>
      <c r="C326" s="11"/>
      <c r="D326" s="11" t="s">
        <v>301</v>
      </c>
      <c r="E326" s="11"/>
      <c r="F326" s="11"/>
      <c r="G326" s="11"/>
      <c r="H326" s="11"/>
      <c r="I326" s="11"/>
      <c r="J326" s="2" t="s">
        <v>299</v>
      </c>
      <c r="K326" s="180">
        <f>K313-K317-K322</f>
        <v>168.56000000000495</v>
      </c>
      <c r="L326" s="180"/>
      <c r="O326" s="188"/>
    </row>
    <row r="327" spans="1:15" ht="12.75">
      <c r="A327" s="84"/>
      <c r="B327" s="11"/>
      <c r="C327" s="11"/>
      <c r="D327" s="11"/>
      <c r="E327" s="11"/>
      <c r="F327" s="11"/>
      <c r="G327" s="11"/>
      <c r="H327" s="11"/>
      <c r="I327" s="11"/>
      <c r="J327" s="2"/>
      <c r="K327" s="180"/>
      <c r="L327" s="180"/>
      <c r="O327" s="188"/>
    </row>
    <row r="328" spans="1:15" ht="12.75">
      <c r="A328" s="84"/>
      <c r="B328" s="11"/>
      <c r="C328" s="11"/>
      <c r="D328" s="11"/>
      <c r="E328" s="11"/>
      <c r="F328" s="11"/>
      <c r="G328" s="11"/>
      <c r="H328" s="11"/>
      <c r="I328" s="11"/>
      <c r="J328" s="2"/>
      <c r="K328" s="180"/>
      <c r="L328" s="180"/>
      <c r="O328" s="188"/>
    </row>
    <row r="329" spans="1:15" ht="12.75">
      <c r="A329" s="84"/>
      <c r="B329" s="11"/>
      <c r="C329" s="11"/>
      <c r="D329" s="11"/>
      <c r="E329" s="11"/>
      <c r="F329" s="11"/>
      <c r="G329" s="11"/>
      <c r="H329" s="11"/>
      <c r="I329" s="11"/>
      <c r="J329" s="2"/>
      <c r="K329" s="180"/>
      <c r="L329" s="180"/>
      <c r="O329" s="188"/>
    </row>
    <row r="330" spans="1:15" ht="12.75">
      <c r="A330" s="84"/>
      <c r="B330" s="11"/>
      <c r="C330" s="11"/>
      <c r="D330" s="11"/>
      <c r="E330" s="11"/>
      <c r="F330" s="11"/>
      <c r="G330" s="11"/>
      <c r="H330" s="11"/>
      <c r="I330" s="11"/>
      <c r="J330" s="2"/>
      <c r="K330" s="180"/>
      <c r="L330" s="180"/>
      <c r="O330" s="188"/>
    </row>
    <row r="331" spans="1:15" ht="12.75">
      <c r="A331" s="84"/>
      <c r="B331" s="11"/>
      <c r="C331" s="11"/>
      <c r="D331" s="11"/>
      <c r="E331" s="11"/>
      <c r="F331" s="11"/>
      <c r="G331" s="11"/>
      <c r="H331" s="11"/>
      <c r="I331" s="11"/>
      <c r="J331" s="2"/>
      <c r="K331" s="180"/>
      <c r="L331" s="180"/>
      <c r="O331" s="188"/>
    </row>
    <row r="332" spans="1:15" ht="12.75">
      <c r="A332" s="153" t="s">
        <v>33</v>
      </c>
      <c r="B332" s="8" t="s">
        <v>34</v>
      </c>
      <c r="C332" s="11"/>
      <c r="D332" s="11"/>
      <c r="E332" s="11"/>
      <c r="F332" s="11"/>
      <c r="G332" s="11"/>
      <c r="H332" s="11"/>
      <c r="I332" s="11"/>
      <c r="J332" s="2"/>
      <c r="K332" s="6"/>
      <c r="O332" s="188"/>
    </row>
    <row r="333" spans="1:15" ht="12.75">
      <c r="A333" s="84"/>
      <c r="B333" s="11"/>
      <c r="C333" s="11"/>
      <c r="D333" s="11"/>
      <c r="E333" s="11"/>
      <c r="F333" s="11"/>
      <c r="G333" s="11"/>
      <c r="H333" s="11"/>
      <c r="I333" s="11"/>
      <c r="J333" s="2"/>
      <c r="O333" s="188"/>
    </row>
    <row r="334" spans="1:15" ht="12.75">
      <c r="A334" s="84"/>
      <c r="B334" s="8" t="s">
        <v>307</v>
      </c>
      <c r="C334" s="8" t="s">
        <v>35</v>
      </c>
      <c r="D334" s="11"/>
      <c r="E334" s="11"/>
      <c r="F334" s="11"/>
      <c r="G334" s="11"/>
      <c r="H334" s="11"/>
      <c r="I334" s="11"/>
      <c r="J334" s="2"/>
      <c r="O334" s="188"/>
    </row>
    <row r="335" spans="1:15" ht="12.75">
      <c r="A335" s="84"/>
      <c r="B335" s="11" t="s">
        <v>330</v>
      </c>
      <c r="C335" s="11"/>
      <c r="D335" s="11"/>
      <c r="E335" s="11"/>
      <c r="F335" s="11"/>
      <c r="G335" s="11"/>
      <c r="H335" s="11"/>
      <c r="I335" s="11"/>
      <c r="J335" s="2"/>
      <c r="O335" s="188"/>
    </row>
    <row r="336" spans="1:15" ht="12.75">
      <c r="A336" s="84"/>
      <c r="B336" s="11"/>
      <c r="C336" s="11"/>
      <c r="D336" s="11"/>
      <c r="E336" s="11"/>
      <c r="F336" s="11"/>
      <c r="G336" s="173" t="s">
        <v>36</v>
      </c>
      <c r="H336" s="11"/>
      <c r="I336" s="173" t="s">
        <v>37</v>
      </c>
      <c r="J336" s="2"/>
      <c r="K336" s="10" t="s">
        <v>38</v>
      </c>
      <c r="O336" s="188"/>
    </row>
    <row r="337" spans="1:15" ht="12.75">
      <c r="A337" s="84"/>
      <c r="B337" s="11"/>
      <c r="C337" s="11"/>
      <c r="D337" s="11"/>
      <c r="E337" s="11"/>
      <c r="F337" s="11"/>
      <c r="G337" s="173" t="s">
        <v>39</v>
      </c>
      <c r="H337" s="11"/>
      <c r="I337" s="173"/>
      <c r="J337" s="2"/>
      <c r="K337" s="10" t="s">
        <v>40</v>
      </c>
      <c r="O337" s="188"/>
    </row>
    <row r="338" spans="1:15" ht="12.75">
      <c r="A338" s="84"/>
      <c r="B338" s="11"/>
      <c r="C338" s="11"/>
      <c r="D338" s="11"/>
      <c r="E338" s="11"/>
      <c r="F338" s="11"/>
      <c r="G338" s="173"/>
      <c r="H338" s="11"/>
      <c r="I338" s="173" t="s">
        <v>100</v>
      </c>
      <c r="J338" s="2"/>
      <c r="K338" s="10" t="s">
        <v>111</v>
      </c>
      <c r="O338" s="188"/>
    </row>
    <row r="339" spans="1:15" ht="12.75">
      <c r="A339" s="84"/>
      <c r="B339" s="11"/>
      <c r="C339" s="11"/>
      <c r="D339" s="11"/>
      <c r="E339" s="11"/>
      <c r="F339" s="11"/>
      <c r="G339" s="11"/>
      <c r="H339" s="11"/>
      <c r="I339" s="11"/>
      <c r="J339" s="2"/>
      <c r="K339" s="180"/>
      <c r="L339" s="180"/>
      <c r="O339" s="188"/>
    </row>
    <row r="340" spans="1:15" ht="12.75">
      <c r="A340" s="84"/>
      <c r="B340" s="11"/>
      <c r="C340" s="11"/>
      <c r="D340" s="11"/>
      <c r="E340" s="11"/>
      <c r="F340" s="11"/>
      <c r="G340" s="11"/>
      <c r="H340" s="11"/>
      <c r="I340" s="11"/>
      <c r="J340" s="2"/>
      <c r="O340" s="188"/>
    </row>
    <row r="341" spans="1:15" ht="12.75">
      <c r="A341" s="182"/>
      <c r="B341" s="168" t="s">
        <v>436</v>
      </c>
      <c r="C341" s="168"/>
      <c r="D341" s="168"/>
      <c r="E341" s="168"/>
      <c r="F341" s="168"/>
      <c r="G341" s="575">
        <f>G302</f>
        <v>43597</v>
      </c>
      <c r="H341" s="168"/>
      <c r="I341" s="184">
        <f>K300</f>
        <v>1.89</v>
      </c>
      <c r="J341" s="157" t="s">
        <v>81</v>
      </c>
      <c r="K341" s="159">
        <f>G341*I341</f>
        <v>82398.33</v>
      </c>
      <c r="L341" s="92"/>
      <c r="O341" s="190"/>
    </row>
    <row r="342" spans="1:15" ht="12.75">
      <c r="A342" s="169"/>
      <c r="B342" s="11"/>
      <c r="C342" s="11"/>
      <c r="D342" s="11"/>
      <c r="E342" s="11"/>
      <c r="F342" s="11"/>
      <c r="G342" s="11"/>
      <c r="H342" s="11"/>
      <c r="I342" s="170"/>
      <c r="J342" s="2"/>
      <c r="O342" s="188"/>
    </row>
    <row r="343" spans="1:15" ht="12.75">
      <c r="A343" s="182"/>
      <c r="B343" s="168" t="s">
        <v>451</v>
      </c>
      <c r="C343" s="168"/>
      <c r="D343" s="168"/>
      <c r="E343" s="168"/>
      <c r="F343" s="168"/>
      <c r="G343" s="575">
        <f>G317</f>
        <v>42749</v>
      </c>
      <c r="H343" s="168"/>
      <c r="I343" s="184">
        <f>K315</f>
        <v>0.94</v>
      </c>
      <c r="J343" s="157" t="s">
        <v>82</v>
      </c>
      <c r="K343" s="195">
        <f>G343*I343</f>
        <v>40184.06</v>
      </c>
      <c r="L343" s="92"/>
      <c r="O343" s="190"/>
    </row>
    <row r="344" spans="1:15" ht="12.75">
      <c r="A344" s="84"/>
      <c r="B344" s="11"/>
      <c r="C344" s="11"/>
      <c r="D344" s="11"/>
      <c r="E344" s="11"/>
      <c r="F344" s="11"/>
      <c r="G344" s="11"/>
      <c r="H344" s="11"/>
      <c r="I344" s="11"/>
      <c r="K344" s="3">
        <f>SUM(K341:K343)</f>
        <v>122582.39</v>
      </c>
      <c r="O344" s="188"/>
    </row>
    <row r="345" spans="1:15" ht="12.75">
      <c r="A345" s="84"/>
      <c r="B345" s="11"/>
      <c r="C345" s="11"/>
      <c r="D345" s="11"/>
      <c r="E345" s="11"/>
      <c r="F345" s="11"/>
      <c r="G345" s="11"/>
      <c r="H345" s="11"/>
      <c r="I345" s="11"/>
      <c r="K345" s="8"/>
      <c r="O345" s="188"/>
    </row>
    <row r="346" spans="1:15" ht="12.75">
      <c r="A346" s="85"/>
      <c r="B346" s="176"/>
      <c r="C346" s="176"/>
      <c r="D346" s="176"/>
      <c r="E346" s="176"/>
      <c r="F346" s="176"/>
      <c r="G346" s="176"/>
      <c r="H346" s="176"/>
      <c r="I346" s="176"/>
      <c r="J346" s="96"/>
      <c r="K346" s="487"/>
      <c r="L346" s="487"/>
      <c r="M346" s="86"/>
      <c r="N346" s="86"/>
      <c r="O346" s="189"/>
    </row>
    <row r="347" spans="2:12" ht="12.75">
      <c r="B347" s="11"/>
      <c r="C347" s="11"/>
      <c r="D347" s="11"/>
      <c r="E347" s="11"/>
      <c r="F347" s="11"/>
      <c r="G347" s="11"/>
      <c r="H347" s="11"/>
      <c r="I347" s="11"/>
      <c r="J347" s="2"/>
      <c r="K347" s="180"/>
      <c r="L347" s="180"/>
    </row>
    <row r="348" spans="2:12" ht="12.75">
      <c r="B348" s="11"/>
      <c r="C348" s="11"/>
      <c r="D348" s="11"/>
      <c r="E348" s="11"/>
      <c r="F348" s="11"/>
      <c r="G348" s="11"/>
      <c r="H348" s="11"/>
      <c r="I348" s="11"/>
      <c r="J348" s="2"/>
      <c r="K348" s="180"/>
      <c r="L348" s="180"/>
    </row>
    <row r="349" spans="1:15" ht="12.75">
      <c r="A349" s="85"/>
      <c r="B349" s="176"/>
      <c r="C349" s="176"/>
      <c r="D349" s="176"/>
      <c r="E349" s="176"/>
      <c r="F349" s="176"/>
      <c r="G349" s="176"/>
      <c r="H349" s="176"/>
      <c r="I349" s="176"/>
      <c r="J349" s="86"/>
      <c r="K349" s="4"/>
      <c r="L349" s="86"/>
      <c r="M349" s="86"/>
      <c r="N349" s="86"/>
      <c r="O349" s="86"/>
    </row>
    <row r="350" spans="1:15" ht="12.75">
      <c r="A350" s="156" t="s">
        <v>83</v>
      </c>
      <c r="B350" s="91" t="s">
        <v>286</v>
      </c>
      <c r="C350" s="168"/>
      <c r="D350" s="168"/>
      <c r="E350" s="168"/>
      <c r="F350" s="168"/>
      <c r="G350" s="168"/>
      <c r="H350" s="168"/>
      <c r="I350" s="168"/>
      <c r="J350" s="92"/>
      <c r="K350" s="159"/>
      <c r="L350" s="92"/>
      <c r="O350" s="430"/>
    </row>
    <row r="351" spans="1:15" ht="12.75">
      <c r="A351" s="153"/>
      <c r="B351" s="8"/>
      <c r="C351" s="11"/>
      <c r="D351" s="11"/>
      <c r="E351" s="11"/>
      <c r="F351" s="11"/>
      <c r="G351" s="11"/>
      <c r="H351" s="11"/>
      <c r="I351" s="11"/>
      <c r="O351" s="188"/>
    </row>
    <row r="352" spans="1:15" ht="12.75">
      <c r="A352" s="153" t="s">
        <v>2</v>
      </c>
      <c r="B352" s="8" t="s">
        <v>3</v>
      </c>
      <c r="C352" s="11"/>
      <c r="D352" s="11"/>
      <c r="E352" s="11"/>
      <c r="F352" s="11"/>
      <c r="G352" s="11"/>
      <c r="H352" s="11"/>
      <c r="I352" s="11"/>
      <c r="J352" s="11"/>
      <c r="L352" s="11"/>
      <c r="O352" s="188"/>
    </row>
    <row r="353" spans="1:15" ht="12.75">
      <c r="A353" s="160"/>
      <c r="B353" s="8"/>
      <c r="C353" s="11"/>
      <c r="D353" s="11"/>
      <c r="E353" s="11"/>
      <c r="F353" s="11"/>
      <c r="G353" s="11"/>
      <c r="H353" s="11"/>
      <c r="I353" s="11"/>
      <c r="J353" s="11"/>
      <c r="L353" s="11"/>
      <c r="M353" s="11"/>
      <c r="N353" s="11"/>
      <c r="O353" s="522"/>
    </row>
    <row r="354" spans="1:15" ht="12.75">
      <c r="A354" s="160" t="s">
        <v>4</v>
      </c>
      <c r="B354" s="8"/>
      <c r="C354" s="8" t="s">
        <v>363</v>
      </c>
      <c r="D354" s="11"/>
      <c r="E354" s="11"/>
      <c r="F354" s="11"/>
      <c r="G354" s="11"/>
      <c r="H354" s="11"/>
      <c r="I354" s="155" t="s">
        <v>191</v>
      </c>
      <c r="J354" s="11"/>
      <c r="K354" s="159">
        <v>640</v>
      </c>
      <c r="L354" s="566">
        <v>650</v>
      </c>
      <c r="M354" s="8"/>
      <c r="N354" s="8"/>
      <c r="O354" s="556">
        <f>ROUND((K354+L354)/2,2)</f>
        <v>645</v>
      </c>
    </row>
    <row r="355" spans="1:15" ht="12.75">
      <c r="A355" s="160"/>
      <c r="B355" s="8"/>
      <c r="C355" s="8"/>
      <c r="D355" s="11"/>
      <c r="E355" s="11"/>
      <c r="F355" s="11"/>
      <c r="G355" s="11"/>
      <c r="H355" s="11"/>
      <c r="I355" s="155"/>
      <c r="J355" s="11"/>
      <c r="K355" s="374"/>
      <c r="L355" s="8"/>
      <c r="M355" s="8"/>
      <c r="N355" s="8"/>
      <c r="O355" s="177"/>
    </row>
    <row r="356" spans="1:15" ht="12.75">
      <c r="A356" s="160"/>
      <c r="B356" s="8" t="s">
        <v>370</v>
      </c>
      <c r="C356" s="8" t="s">
        <v>371</v>
      </c>
      <c r="D356" s="11"/>
      <c r="E356" s="11"/>
      <c r="F356" s="11"/>
      <c r="G356" s="11"/>
      <c r="H356" s="11"/>
      <c r="I356" s="155" t="s">
        <v>191</v>
      </c>
      <c r="J356" s="11"/>
      <c r="K356" s="159">
        <v>200</v>
      </c>
      <c r="L356" s="566">
        <v>200</v>
      </c>
      <c r="M356" s="8"/>
      <c r="N356" s="8"/>
      <c r="O356" s="556">
        <f>ROUND((K356+L356)/2,2)</f>
        <v>200</v>
      </c>
    </row>
    <row r="357" spans="1:15" ht="12.75">
      <c r="A357" s="160"/>
      <c r="B357" s="8"/>
      <c r="C357" s="8"/>
      <c r="D357" s="11"/>
      <c r="E357" s="11"/>
      <c r="F357" s="11"/>
      <c r="G357" s="11"/>
      <c r="H357" s="11"/>
      <c r="I357" s="155"/>
      <c r="J357" s="11"/>
      <c r="K357" s="374"/>
      <c r="L357" s="429"/>
      <c r="M357" s="8"/>
      <c r="N357" s="8"/>
      <c r="O357" s="177"/>
    </row>
    <row r="358" spans="1:15" ht="12.75">
      <c r="A358" s="160" t="s">
        <v>43</v>
      </c>
      <c r="B358" s="8" t="s">
        <v>374</v>
      </c>
      <c r="C358" s="8" t="s">
        <v>375</v>
      </c>
      <c r="D358" s="11"/>
      <c r="E358" s="11"/>
      <c r="F358" s="11"/>
      <c r="G358" s="11"/>
      <c r="H358" s="11"/>
      <c r="I358" s="155"/>
      <c r="J358" s="11"/>
      <c r="K358" s="374">
        <v>500</v>
      </c>
      <c r="L358" s="429">
        <v>500</v>
      </c>
      <c r="M358" s="8"/>
      <c r="N358" s="8"/>
      <c r="O358" s="425">
        <f>ROUND((K358+L358)/2,2)</f>
        <v>500</v>
      </c>
    </row>
    <row r="359" spans="1:15" ht="12.75">
      <c r="A359" s="169"/>
      <c r="B359" s="11"/>
      <c r="C359" s="11"/>
      <c r="D359" s="11"/>
      <c r="E359" s="11"/>
      <c r="F359" s="11"/>
      <c r="G359" s="11"/>
      <c r="H359" s="11"/>
      <c r="I359" s="11"/>
      <c r="J359" s="11"/>
      <c r="L359" s="429"/>
      <c r="M359" s="8"/>
      <c r="N359" s="8"/>
      <c r="O359" s="177"/>
    </row>
    <row r="360" spans="1:15" ht="12.75">
      <c r="A360" s="169" t="s">
        <v>48</v>
      </c>
      <c r="B360" s="8" t="s">
        <v>308</v>
      </c>
      <c r="C360" s="8" t="s">
        <v>265</v>
      </c>
      <c r="D360" s="11"/>
      <c r="E360" s="11"/>
      <c r="F360" s="11"/>
      <c r="G360" s="11"/>
      <c r="H360" s="11"/>
      <c r="I360" s="155" t="s">
        <v>251</v>
      </c>
      <c r="J360" s="11"/>
      <c r="K360" s="159">
        <v>14491.89</v>
      </c>
      <c r="L360" s="566">
        <v>14541.9</v>
      </c>
      <c r="M360" s="8"/>
      <c r="N360" s="8"/>
      <c r="O360" s="556">
        <v>14516.9</v>
      </c>
    </row>
    <row r="361" spans="1:15" ht="12.75">
      <c r="A361" s="169"/>
      <c r="B361" s="11" t="s">
        <v>331</v>
      </c>
      <c r="C361" s="11"/>
      <c r="D361" s="11"/>
      <c r="E361" s="11"/>
      <c r="F361" s="11"/>
      <c r="G361" s="11"/>
      <c r="H361" s="11"/>
      <c r="I361" s="11"/>
      <c r="J361" s="11"/>
      <c r="L361" s="429"/>
      <c r="M361" s="8"/>
      <c r="N361" s="8"/>
      <c r="O361" s="177"/>
    </row>
    <row r="362" spans="1:15" ht="12.75">
      <c r="A362" s="169" t="s">
        <v>114</v>
      </c>
      <c r="B362" s="8" t="s">
        <v>309</v>
      </c>
      <c r="C362" s="8" t="s">
        <v>400</v>
      </c>
      <c r="D362" s="11"/>
      <c r="E362" s="11"/>
      <c r="F362" s="11"/>
      <c r="G362" s="11"/>
      <c r="H362" s="11"/>
      <c r="I362" s="11"/>
      <c r="J362" s="11"/>
      <c r="K362" s="3">
        <v>4400</v>
      </c>
      <c r="L362" s="429">
        <v>4400</v>
      </c>
      <c r="M362" s="8"/>
      <c r="N362" s="8"/>
      <c r="O362" s="425">
        <f>ROUND((K362+L362)/2,2)</f>
        <v>4400</v>
      </c>
    </row>
    <row r="363" spans="1:15" ht="12.75">
      <c r="A363" s="84"/>
      <c r="B363" s="11" t="s">
        <v>332</v>
      </c>
      <c r="C363" s="219"/>
      <c r="D363" s="11"/>
      <c r="E363" s="213"/>
      <c r="F363" s="11"/>
      <c r="G363" s="11"/>
      <c r="H363" s="11"/>
      <c r="I363" s="213"/>
      <c r="J363" s="11"/>
      <c r="L363" s="213"/>
      <c r="O363" s="188"/>
    </row>
    <row r="364" spans="1:15" ht="12.75">
      <c r="A364" s="84"/>
      <c r="B364" s="11"/>
      <c r="C364" s="11"/>
      <c r="D364" s="11"/>
      <c r="E364" s="11"/>
      <c r="F364" s="11"/>
      <c r="G364" s="11"/>
      <c r="H364" s="11"/>
      <c r="I364" s="11"/>
      <c r="J364" s="11"/>
      <c r="L364" s="213"/>
      <c r="O364" s="188"/>
    </row>
    <row r="365" spans="1:15" ht="12.75">
      <c r="A365" s="169" t="s">
        <v>210</v>
      </c>
      <c r="B365" s="8" t="s">
        <v>310</v>
      </c>
      <c r="C365" s="8" t="s">
        <v>42</v>
      </c>
      <c r="D365" s="8"/>
      <c r="E365" s="8"/>
      <c r="F365" s="8"/>
      <c r="G365" s="8"/>
      <c r="H365" s="8"/>
      <c r="I365" s="429">
        <v>10000</v>
      </c>
      <c r="J365" s="8"/>
      <c r="K365" s="8"/>
      <c r="L365" s="213"/>
      <c r="M365" s="11"/>
      <c r="N365" s="11"/>
      <c r="O365" s="522"/>
    </row>
    <row r="366" spans="1:15" ht="12.75">
      <c r="A366" s="169"/>
      <c r="B366" s="8" t="s">
        <v>333</v>
      </c>
      <c r="C366" s="8"/>
      <c r="D366" s="8"/>
      <c r="E366" s="8"/>
      <c r="F366" s="8"/>
      <c r="G366" s="8"/>
      <c r="H366" s="8"/>
      <c r="I366" s="213"/>
      <c r="J366" s="8"/>
      <c r="K366" s="8"/>
      <c r="L366" s="213"/>
      <c r="M366" s="11"/>
      <c r="N366" s="11"/>
      <c r="O366" s="522"/>
    </row>
    <row r="367" spans="1:15" ht="12.75">
      <c r="A367" s="169" t="s">
        <v>211</v>
      </c>
      <c r="B367" s="8" t="s">
        <v>311</v>
      </c>
      <c r="C367" s="8" t="s">
        <v>369</v>
      </c>
      <c r="D367" s="8"/>
      <c r="E367" s="8"/>
      <c r="F367" s="8"/>
      <c r="G367" s="8"/>
      <c r="H367" s="8"/>
      <c r="I367" s="429">
        <v>5000</v>
      </c>
      <c r="J367" s="8"/>
      <c r="K367" s="8"/>
      <c r="L367" s="213"/>
      <c r="M367" s="11"/>
      <c r="N367" s="11"/>
      <c r="O367" s="522"/>
    </row>
    <row r="368" spans="1:15" ht="12.75">
      <c r="A368" s="169"/>
      <c r="B368" s="8" t="s">
        <v>334</v>
      </c>
      <c r="C368" s="8"/>
      <c r="D368" s="8"/>
      <c r="E368" s="8"/>
      <c r="F368" s="8"/>
      <c r="G368" s="8"/>
      <c r="H368" s="8"/>
      <c r="I368" s="213"/>
      <c r="J368" s="8"/>
      <c r="K368" s="8"/>
      <c r="L368" s="213"/>
      <c r="M368" s="11"/>
      <c r="N368" s="11"/>
      <c r="O368" s="522"/>
    </row>
    <row r="369" spans="1:15" ht="12.75">
      <c r="A369" s="169" t="s">
        <v>212</v>
      </c>
      <c r="B369" s="8" t="s">
        <v>367</v>
      </c>
      <c r="C369" s="8" t="s">
        <v>368</v>
      </c>
      <c r="D369" s="8"/>
      <c r="E369" s="8"/>
      <c r="F369" s="8"/>
      <c r="G369" s="8"/>
      <c r="H369" s="8"/>
      <c r="I369" s="578">
        <v>60000</v>
      </c>
      <c r="J369" s="11"/>
      <c r="L369" s="213"/>
      <c r="M369" s="11"/>
      <c r="N369" s="11"/>
      <c r="O369" s="522"/>
    </row>
    <row r="370" spans="1:15" ht="12.75">
      <c r="A370" s="169"/>
      <c r="B370" s="8" t="s">
        <v>334</v>
      </c>
      <c r="C370" s="8"/>
      <c r="D370" s="8"/>
      <c r="E370" s="8"/>
      <c r="F370" s="8"/>
      <c r="G370" s="8"/>
      <c r="H370" s="8"/>
      <c r="I370" s="429">
        <f>SUM(I365:I369)</f>
        <v>75000</v>
      </c>
      <c r="J370" s="11"/>
      <c r="L370" s="213"/>
      <c r="M370" s="11"/>
      <c r="N370" s="11"/>
      <c r="O370" s="522"/>
    </row>
    <row r="371" spans="1:15" ht="12.75">
      <c r="A371" s="169"/>
      <c r="B371" s="11"/>
      <c r="C371" s="11" t="s">
        <v>6</v>
      </c>
      <c r="D371" s="171">
        <v>1</v>
      </c>
      <c r="E371" s="11" t="s">
        <v>14</v>
      </c>
      <c r="F371" s="11"/>
      <c r="G371" s="11"/>
      <c r="H371" s="155" t="s">
        <v>15</v>
      </c>
      <c r="I371" s="11"/>
      <c r="J371" s="11"/>
      <c r="K371" s="3">
        <f>ROUND(I370*D371,2)</f>
        <v>75000</v>
      </c>
      <c r="L371" s="3">
        <v>75000</v>
      </c>
      <c r="M371" s="11"/>
      <c r="N371" s="11"/>
      <c r="O371" s="425">
        <f>ROUND((K371+L371)/2,2)</f>
        <v>75000</v>
      </c>
    </row>
    <row r="372" spans="1:15" ht="12.75">
      <c r="A372" s="169"/>
      <c r="B372" s="11"/>
      <c r="C372" s="11"/>
      <c r="D372" s="171"/>
      <c r="E372" s="11"/>
      <c r="F372" s="11"/>
      <c r="G372" s="13"/>
      <c r="H372" s="11"/>
      <c r="I372" s="11"/>
      <c r="J372" s="11"/>
      <c r="L372" s="213"/>
      <c r="M372" s="11"/>
      <c r="N372" s="11"/>
      <c r="O372" s="522"/>
    </row>
    <row r="373" spans="1:15" ht="12.75">
      <c r="A373" s="169" t="s">
        <v>213</v>
      </c>
      <c r="B373" s="8" t="s">
        <v>304</v>
      </c>
      <c r="C373" s="8" t="s">
        <v>115</v>
      </c>
      <c r="D373" s="11"/>
      <c r="E373" s="11"/>
      <c r="F373" s="11"/>
      <c r="G373" s="11"/>
      <c r="H373" s="11"/>
      <c r="I373" s="213">
        <v>4400</v>
      </c>
      <c r="J373" s="11"/>
      <c r="K373" s="3">
        <f>SUM(I373:I378)</f>
        <v>38000</v>
      </c>
      <c r="L373" s="429">
        <v>38000</v>
      </c>
      <c r="M373" s="11"/>
      <c r="N373" s="11"/>
      <c r="O373" s="425">
        <f>ROUND((K373+L373)/2,2)</f>
        <v>38000</v>
      </c>
    </row>
    <row r="374" spans="1:15" ht="12.75">
      <c r="A374" s="169"/>
      <c r="B374" s="8" t="s">
        <v>335</v>
      </c>
      <c r="C374" s="11" t="s">
        <v>113</v>
      </c>
      <c r="D374" s="171"/>
      <c r="E374" s="11"/>
      <c r="F374" s="11"/>
      <c r="G374" s="13"/>
      <c r="H374" s="11"/>
      <c r="I374" s="11"/>
      <c r="J374" s="11"/>
      <c r="L374" s="11"/>
      <c r="M374" s="11"/>
      <c r="N374" s="11"/>
      <c r="O374" s="522"/>
    </row>
    <row r="375" spans="1:15" ht="12.75">
      <c r="A375" s="169"/>
      <c r="B375" s="8"/>
      <c r="C375" s="11"/>
      <c r="D375" s="171"/>
      <c r="E375" s="11"/>
      <c r="F375" s="11"/>
      <c r="G375" s="13"/>
      <c r="H375" s="11"/>
      <c r="I375" s="11"/>
      <c r="J375" s="11"/>
      <c r="L375" s="11"/>
      <c r="M375" s="11"/>
      <c r="N375" s="11"/>
      <c r="O375" s="522"/>
    </row>
    <row r="376" spans="1:15" ht="12.75">
      <c r="A376" s="169"/>
      <c r="B376" s="8"/>
      <c r="C376" s="11" t="s">
        <v>366</v>
      </c>
      <c r="D376" s="171"/>
      <c r="E376" s="11"/>
      <c r="F376" s="11"/>
      <c r="G376" s="13"/>
      <c r="H376" s="11"/>
      <c r="I376" s="213">
        <v>29000</v>
      </c>
      <c r="J376" s="11"/>
      <c r="L376" s="11"/>
      <c r="M376" s="11"/>
      <c r="N376" s="11"/>
      <c r="O376" s="522"/>
    </row>
    <row r="377" spans="1:15" ht="12.75">
      <c r="A377" s="169"/>
      <c r="B377" s="8"/>
      <c r="C377" s="11"/>
      <c r="D377" s="171"/>
      <c r="E377" s="11"/>
      <c r="F377" s="11"/>
      <c r="G377" s="13"/>
      <c r="H377" s="11"/>
      <c r="I377" s="11"/>
      <c r="J377" s="11"/>
      <c r="L377" s="11"/>
      <c r="M377" s="11"/>
      <c r="N377" s="11"/>
      <c r="O377" s="522"/>
    </row>
    <row r="378" spans="1:15" ht="12.75">
      <c r="A378" s="169"/>
      <c r="B378" s="8"/>
      <c r="C378" s="11" t="s">
        <v>359</v>
      </c>
      <c r="D378" s="171"/>
      <c r="E378" s="11"/>
      <c r="F378" s="11"/>
      <c r="G378" s="13"/>
      <c r="H378" s="11"/>
      <c r="I378" s="213">
        <v>4600</v>
      </c>
      <c r="J378" s="11"/>
      <c r="L378" s="11"/>
      <c r="M378" s="11"/>
      <c r="N378" s="11"/>
      <c r="O378" s="522"/>
    </row>
    <row r="379" spans="1:15" ht="12.75">
      <c r="A379" s="84"/>
      <c r="B379" s="8"/>
      <c r="C379" s="11"/>
      <c r="D379" s="171"/>
      <c r="E379" s="11"/>
      <c r="F379" s="11"/>
      <c r="G379" s="13"/>
      <c r="H379" s="11"/>
      <c r="I379" s="353"/>
      <c r="J379" s="353"/>
      <c r="O379" s="188"/>
    </row>
    <row r="380" spans="1:15" ht="12.75">
      <c r="A380" s="169" t="s">
        <v>214</v>
      </c>
      <c r="B380" s="8" t="s">
        <v>376</v>
      </c>
      <c r="C380" s="8" t="s">
        <v>377</v>
      </c>
      <c r="D380" s="362"/>
      <c r="E380" s="8"/>
      <c r="F380" s="11"/>
      <c r="G380" s="13"/>
      <c r="H380" s="11"/>
      <c r="I380" s="11"/>
      <c r="J380" s="11"/>
      <c r="K380" s="3">
        <v>800</v>
      </c>
      <c r="L380" s="429">
        <v>800</v>
      </c>
      <c r="M380" s="11"/>
      <c r="N380" s="11"/>
      <c r="O380" s="425">
        <f>ROUND((K380+L380)/2,2)</f>
        <v>800</v>
      </c>
    </row>
    <row r="381" spans="1:15" ht="12.75">
      <c r="A381" s="169"/>
      <c r="B381" s="8"/>
      <c r="C381" s="11"/>
      <c r="D381" s="171"/>
      <c r="E381" s="11"/>
      <c r="F381" s="11"/>
      <c r="G381" s="13"/>
      <c r="H381" s="11"/>
      <c r="I381" s="11"/>
      <c r="J381" s="11"/>
      <c r="L381" s="11"/>
      <c r="M381" s="11"/>
      <c r="N381" s="11"/>
      <c r="O381" s="522"/>
    </row>
    <row r="382" spans="1:15" ht="12.75">
      <c r="A382" s="169" t="s">
        <v>347</v>
      </c>
      <c r="B382" s="8"/>
      <c r="C382" s="8" t="s">
        <v>401</v>
      </c>
      <c r="D382" s="362"/>
      <c r="E382" s="11"/>
      <c r="F382" s="11"/>
      <c r="G382" s="13"/>
      <c r="H382" s="11"/>
      <c r="I382" s="213">
        <v>11567.75</v>
      </c>
      <c r="J382" s="11"/>
      <c r="K382" s="3">
        <v>11600</v>
      </c>
      <c r="L382" s="429">
        <v>11600</v>
      </c>
      <c r="M382" s="8"/>
      <c r="N382" s="8"/>
      <c r="O382" s="425">
        <v>11600</v>
      </c>
    </row>
    <row r="383" spans="1:15" ht="12.75">
      <c r="A383" s="169"/>
      <c r="B383" s="8"/>
      <c r="C383" s="11"/>
      <c r="D383" s="171"/>
      <c r="E383" s="11"/>
      <c r="F383" s="11"/>
      <c r="G383" s="13"/>
      <c r="H383" s="11"/>
      <c r="I383" s="11"/>
      <c r="J383" s="11"/>
      <c r="L383" s="11"/>
      <c r="M383" s="11"/>
      <c r="N383" s="11"/>
      <c r="O383" s="522"/>
    </row>
    <row r="384" spans="1:15" ht="12.75">
      <c r="A384" s="169" t="s">
        <v>215</v>
      </c>
      <c r="B384" s="11"/>
      <c r="C384" s="8" t="s">
        <v>5</v>
      </c>
      <c r="D384" s="11"/>
      <c r="E384" s="11"/>
      <c r="F384" s="11"/>
      <c r="G384" s="11"/>
      <c r="H384" s="11"/>
      <c r="I384" s="11"/>
      <c r="J384" s="11"/>
      <c r="L384" s="11"/>
      <c r="M384" s="11"/>
      <c r="N384" s="11"/>
      <c r="O384" s="522"/>
    </row>
    <row r="385" spans="1:15" ht="12.75">
      <c r="A385" s="169"/>
      <c r="B385" s="8" t="s">
        <v>305</v>
      </c>
      <c r="C385" s="8"/>
      <c r="D385" s="11"/>
      <c r="E385" s="11"/>
      <c r="F385" s="11"/>
      <c r="G385" s="11"/>
      <c r="H385" s="11"/>
      <c r="I385" s="11"/>
      <c r="J385" s="11"/>
      <c r="L385" s="11"/>
      <c r="M385" s="11"/>
      <c r="N385" s="11"/>
      <c r="O385" s="522"/>
    </row>
    <row r="386" spans="1:15" ht="12.75">
      <c r="A386" s="174" t="s">
        <v>383</v>
      </c>
      <c r="B386" s="8" t="s">
        <v>328</v>
      </c>
      <c r="C386" s="7" t="s">
        <v>104</v>
      </c>
      <c r="D386" s="11"/>
      <c r="E386" s="11"/>
      <c r="F386" s="11"/>
      <c r="G386" s="11"/>
      <c r="H386" s="11"/>
      <c r="I386" s="11"/>
      <c r="J386" s="11"/>
      <c r="L386" s="11"/>
      <c r="M386" s="11"/>
      <c r="N386" s="11"/>
      <c r="O386" s="522"/>
    </row>
    <row r="387" spans="1:15" ht="12.75">
      <c r="A387" s="174" t="s">
        <v>384</v>
      </c>
      <c r="B387" s="11"/>
      <c r="C387" s="11" t="s">
        <v>84</v>
      </c>
      <c r="D387" s="11"/>
      <c r="E387" s="11"/>
      <c r="F387" s="11"/>
      <c r="G387" s="11"/>
      <c r="H387" s="11"/>
      <c r="I387" s="11"/>
      <c r="J387" s="11"/>
      <c r="L387" s="11"/>
      <c r="M387" s="11"/>
      <c r="N387" s="11"/>
      <c r="O387" s="522"/>
    </row>
    <row r="388" spans="1:15" ht="12.75">
      <c r="A388" s="169"/>
      <c r="B388" s="11"/>
      <c r="C388" s="11" t="s">
        <v>85</v>
      </c>
      <c r="D388" s="11"/>
      <c r="E388" s="11"/>
      <c r="F388" s="11"/>
      <c r="G388" s="11"/>
      <c r="H388" s="11"/>
      <c r="I388" s="11"/>
      <c r="J388" s="11"/>
      <c r="L388" s="11"/>
      <c r="M388" s="11"/>
      <c r="N388" s="11"/>
      <c r="O388" s="522"/>
    </row>
    <row r="389" spans="1:15" ht="12.75">
      <c r="A389" s="169"/>
      <c r="B389" s="11"/>
      <c r="C389" s="11" t="s">
        <v>86</v>
      </c>
      <c r="D389" s="11"/>
      <c r="E389" s="11"/>
      <c r="F389" s="11"/>
      <c r="G389" s="11"/>
      <c r="H389" s="11"/>
      <c r="I389" s="11"/>
      <c r="J389" s="11"/>
      <c r="L389" s="11"/>
      <c r="M389" s="11"/>
      <c r="N389" s="11"/>
      <c r="O389" s="522"/>
    </row>
    <row r="390" spans="1:15" ht="12.75">
      <c r="A390" s="169"/>
      <c r="B390" s="11"/>
      <c r="C390" s="11" t="s">
        <v>508</v>
      </c>
      <c r="D390" s="11"/>
      <c r="E390" s="11"/>
      <c r="F390" s="11"/>
      <c r="G390" s="11"/>
      <c r="H390" s="173"/>
      <c r="I390" s="170"/>
      <c r="J390" s="11"/>
      <c r="L390" s="11"/>
      <c r="M390" s="11"/>
      <c r="N390" s="11"/>
      <c r="O390" s="522"/>
    </row>
    <row r="391" spans="1:16" ht="12.75">
      <c r="A391" s="169"/>
      <c r="B391" s="11"/>
      <c r="C391" s="11" t="s">
        <v>497</v>
      </c>
      <c r="D391" s="11">
        <v>650</v>
      </c>
      <c r="E391" s="11" t="s">
        <v>45</v>
      </c>
      <c r="F391" s="11" t="s">
        <v>252</v>
      </c>
      <c r="G391" s="11">
        <v>22.17</v>
      </c>
      <c r="H391" s="11" t="s">
        <v>112</v>
      </c>
      <c r="I391" s="11">
        <v>22.39</v>
      </c>
      <c r="J391" s="11"/>
      <c r="K391" s="3">
        <f>ROUND(D391*G391,2)</f>
        <v>14410.5</v>
      </c>
      <c r="L391" s="3">
        <f>ROUND(D391*I391,2)</f>
        <v>14553.5</v>
      </c>
      <c r="M391" s="11"/>
      <c r="N391" s="11"/>
      <c r="O391" s="425">
        <f>ROUND((K391+L391)/2,2)</f>
        <v>14482</v>
      </c>
      <c r="P391" s="236"/>
    </row>
    <row r="392" spans="1:15" ht="12.75">
      <c r="A392" s="169"/>
      <c r="B392" s="11"/>
      <c r="C392" s="11" t="s">
        <v>8</v>
      </c>
      <c r="D392" s="171">
        <v>0.1</v>
      </c>
      <c r="E392" s="11" t="s">
        <v>9</v>
      </c>
      <c r="F392" s="11"/>
      <c r="G392" s="13"/>
      <c r="H392" s="11"/>
      <c r="I392" s="11"/>
      <c r="J392" s="11"/>
      <c r="K392" s="3">
        <f>ROUND(K391*D392,2)</f>
        <v>1441.05</v>
      </c>
      <c r="L392" s="3">
        <f>ROUND(L391*D392,2)</f>
        <v>1455.35</v>
      </c>
      <c r="M392" s="11"/>
      <c r="N392" s="11"/>
      <c r="O392" s="425">
        <f>ROUND((K392+L392)/2,2)</f>
        <v>1448.2</v>
      </c>
    </row>
    <row r="393" spans="1:15" ht="12.75">
      <c r="A393" s="169"/>
      <c r="B393" s="11"/>
      <c r="C393" s="11"/>
      <c r="D393" s="171">
        <v>0.15</v>
      </c>
      <c r="E393" s="11" t="s">
        <v>10</v>
      </c>
      <c r="F393" s="11"/>
      <c r="G393" s="13"/>
      <c r="H393" s="11"/>
      <c r="I393" s="11"/>
      <c r="J393" s="11"/>
      <c r="K393" s="3">
        <f>ROUND(K391*D393,2)</f>
        <v>2161.58</v>
      </c>
      <c r="L393" s="3">
        <f>ROUND(L391*D393,2)</f>
        <v>2183.03</v>
      </c>
      <c r="M393" s="11"/>
      <c r="N393" s="11"/>
      <c r="O393" s="425">
        <f>ROUND((K393+L393)/2,2)</f>
        <v>2172.31</v>
      </c>
    </row>
    <row r="394" spans="1:15" ht="12.75">
      <c r="A394" s="169"/>
      <c r="B394" s="11"/>
      <c r="C394" s="11"/>
      <c r="D394" s="171"/>
      <c r="E394" s="11"/>
      <c r="F394" s="11"/>
      <c r="G394" s="13"/>
      <c r="H394" s="11"/>
      <c r="I394" s="11"/>
      <c r="J394" s="11"/>
      <c r="L394" s="3"/>
      <c r="M394" s="11"/>
      <c r="N394" s="11"/>
      <c r="O394" s="425"/>
    </row>
    <row r="395" spans="1:15" ht="12.75">
      <c r="A395" s="175"/>
      <c r="B395" s="176"/>
      <c r="C395" s="176"/>
      <c r="D395" s="223"/>
      <c r="E395" s="176"/>
      <c r="F395" s="176"/>
      <c r="G395" s="214"/>
      <c r="H395" s="176"/>
      <c r="I395" s="176"/>
      <c r="J395" s="176"/>
      <c r="K395" s="4"/>
      <c r="L395" s="4"/>
      <c r="M395" s="176"/>
      <c r="N395" s="176"/>
      <c r="O395" s="488"/>
    </row>
    <row r="396" spans="1:15" ht="12.75">
      <c r="A396" s="11"/>
      <c r="B396" s="11"/>
      <c r="C396" s="11"/>
      <c r="D396" s="171"/>
      <c r="E396" s="11"/>
      <c r="F396" s="11"/>
      <c r="G396" s="13"/>
      <c r="H396" s="11"/>
      <c r="I396" s="11"/>
      <c r="J396" s="11"/>
      <c r="L396" s="11"/>
      <c r="M396" s="11"/>
      <c r="N396" s="11"/>
      <c r="O396" s="11"/>
    </row>
    <row r="397" spans="1:15" ht="12.75">
      <c r="A397" s="176"/>
      <c r="B397" s="176"/>
      <c r="C397" s="176"/>
      <c r="D397" s="223"/>
      <c r="E397" s="176"/>
      <c r="F397" s="176"/>
      <c r="G397" s="214"/>
      <c r="H397" s="176"/>
      <c r="I397" s="176"/>
      <c r="J397" s="176"/>
      <c r="K397" s="4"/>
      <c r="L397" s="176"/>
      <c r="M397" s="176"/>
      <c r="N397" s="176"/>
      <c r="O397" s="176"/>
    </row>
    <row r="398" spans="1:15" ht="12.75">
      <c r="A398" s="186" t="s">
        <v>385</v>
      </c>
      <c r="B398" s="165"/>
      <c r="C398" s="7" t="s">
        <v>11</v>
      </c>
      <c r="D398" s="11"/>
      <c r="E398" s="172" t="s">
        <v>12</v>
      </c>
      <c r="F398" s="11"/>
      <c r="G398" s="172" t="s">
        <v>112</v>
      </c>
      <c r="H398" s="11"/>
      <c r="I398" s="11"/>
      <c r="J398" s="11"/>
      <c r="K398" s="6"/>
      <c r="L398" s="11"/>
      <c r="M398" s="11"/>
      <c r="N398" s="11"/>
      <c r="O398" s="579"/>
    </row>
    <row r="399" spans="1:15" ht="12.75">
      <c r="A399" s="169"/>
      <c r="B399" s="11"/>
      <c r="C399" s="11" t="s">
        <v>475</v>
      </c>
      <c r="D399" s="11">
        <v>955</v>
      </c>
      <c r="E399" s="173">
        <v>30</v>
      </c>
      <c r="F399" s="11"/>
      <c r="G399" s="173">
        <v>7.63</v>
      </c>
      <c r="H399" s="11"/>
      <c r="I399" s="11"/>
      <c r="J399" s="11"/>
      <c r="K399" s="3">
        <f aca="true" t="shared" si="0" ref="K399:K405">ROUND(G399*E399,2)</f>
        <v>228.9</v>
      </c>
      <c r="L399" s="3">
        <f aca="true" t="shared" si="1" ref="L399:L405">ROUND(E399*G399,2)</f>
        <v>228.9</v>
      </c>
      <c r="M399" s="11"/>
      <c r="N399" s="11"/>
      <c r="O399" s="425">
        <f aca="true" t="shared" si="2" ref="O399:O405">ROUND((K399+L399)/2,2)</f>
        <v>228.9</v>
      </c>
    </row>
    <row r="400" spans="1:15" ht="12.75">
      <c r="A400" s="169"/>
      <c r="B400" s="11"/>
      <c r="C400" s="11" t="s">
        <v>269</v>
      </c>
      <c r="D400" s="11" t="s">
        <v>93</v>
      </c>
      <c r="E400" s="173">
        <v>30</v>
      </c>
      <c r="F400" s="11"/>
      <c r="G400" s="212">
        <v>2.29</v>
      </c>
      <c r="H400" s="11"/>
      <c r="I400" s="13"/>
      <c r="J400" s="11"/>
      <c r="K400" s="3">
        <f t="shared" si="0"/>
        <v>68.7</v>
      </c>
      <c r="L400" s="3">
        <f t="shared" si="1"/>
        <v>68.7</v>
      </c>
      <c r="M400" s="11"/>
      <c r="N400" s="11"/>
      <c r="O400" s="425">
        <f t="shared" si="2"/>
        <v>68.7</v>
      </c>
    </row>
    <row r="401" spans="1:15" ht="12.75">
      <c r="A401" s="169"/>
      <c r="B401" s="11"/>
      <c r="C401" s="11" t="s">
        <v>469</v>
      </c>
      <c r="D401" s="11" t="s">
        <v>92</v>
      </c>
      <c r="E401" s="173">
        <v>30</v>
      </c>
      <c r="F401" s="11"/>
      <c r="G401" s="212">
        <v>4.58</v>
      </c>
      <c r="H401" s="11"/>
      <c r="I401" s="13"/>
      <c r="J401" s="11"/>
      <c r="K401" s="3">
        <f t="shared" si="0"/>
        <v>137.4</v>
      </c>
      <c r="L401" s="3">
        <f t="shared" si="1"/>
        <v>137.4</v>
      </c>
      <c r="M401" s="11"/>
      <c r="N401" s="11"/>
      <c r="O401" s="425">
        <f t="shared" si="2"/>
        <v>137.4</v>
      </c>
    </row>
    <row r="402" spans="1:15" ht="12.75">
      <c r="A402" s="169"/>
      <c r="B402" s="11"/>
      <c r="C402" s="11" t="s">
        <v>476</v>
      </c>
      <c r="D402" s="11" t="s">
        <v>477</v>
      </c>
      <c r="E402" s="173">
        <v>30</v>
      </c>
      <c r="F402" s="11"/>
      <c r="G402" s="212">
        <v>6.54</v>
      </c>
      <c r="H402" s="11"/>
      <c r="I402" s="13"/>
      <c r="J402" s="11"/>
      <c r="K402" s="3">
        <f t="shared" si="0"/>
        <v>196.2</v>
      </c>
      <c r="L402" s="3">
        <f t="shared" si="1"/>
        <v>196.2</v>
      </c>
      <c r="M402" s="11"/>
      <c r="N402" s="11"/>
      <c r="O402" s="425">
        <f t="shared" si="2"/>
        <v>196.2</v>
      </c>
    </row>
    <row r="403" spans="1:15" ht="12.75">
      <c r="A403" s="169"/>
      <c r="B403" s="11"/>
      <c r="C403" s="11" t="s">
        <v>476</v>
      </c>
      <c r="D403" s="11" t="s">
        <v>478</v>
      </c>
      <c r="E403" s="173">
        <v>30</v>
      </c>
      <c r="F403" s="11"/>
      <c r="G403" s="212">
        <v>7.58</v>
      </c>
      <c r="H403" s="11"/>
      <c r="I403" s="13"/>
      <c r="J403" s="11"/>
      <c r="K403" s="3">
        <f t="shared" si="0"/>
        <v>227.4</v>
      </c>
      <c r="L403" s="580">
        <f t="shared" si="1"/>
        <v>227.4</v>
      </c>
      <c r="M403" s="11"/>
      <c r="N403" s="11"/>
      <c r="O403" s="425">
        <f t="shared" si="2"/>
        <v>227.4</v>
      </c>
    </row>
    <row r="404" spans="1:15" ht="12.75">
      <c r="A404" s="169"/>
      <c r="B404" s="11"/>
      <c r="C404" s="11" t="s">
        <v>479</v>
      </c>
      <c r="D404" s="11" t="s">
        <v>480</v>
      </c>
      <c r="E404" s="173">
        <v>30</v>
      </c>
      <c r="F404" s="11"/>
      <c r="G404" s="212">
        <v>14.71</v>
      </c>
      <c r="H404" s="11"/>
      <c r="I404" s="13"/>
      <c r="J404" s="11"/>
      <c r="K404" s="3">
        <f t="shared" si="0"/>
        <v>441.3</v>
      </c>
      <c r="L404" s="580">
        <f t="shared" si="1"/>
        <v>441.3</v>
      </c>
      <c r="M404" s="11"/>
      <c r="N404" s="11"/>
      <c r="O404" s="425">
        <f t="shared" si="2"/>
        <v>441.3</v>
      </c>
    </row>
    <row r="405" spans="1:15" ht="12.75">
      <c r="A405" s="169"/>
      <c r="B405" s="11"/>
      <c r="C405" s="11" t="s">
        <v>481</v>
      </c>
      <c r="D405" s="11" t="s">
        <v>346</v>
      </c>
      <c r="E405" s="173">
        <v>10</v>
      </c>
      <c r="F405" s="11"/>
      <c r="G405" s="212">
        <v>42.57</v>
      </c>
      <c r="H405" s="11"/>
      <c r="I405" s="13"/>
      <c r="J405" s="11"/>
      <c r="K405" s="3">
        <f t="shared" si="0"/>
        <v>425.7</v>
      </c>
      <c r="L405" s="580">
        <f t="shared" si="1"/>
        <v>425.7</v>
      </c>
      <c r="M405" s="11"/>
      <c r="N405" s="11"/>
      <c r="O405" s="425">
        <f t="shared" si="2"/>
        <v>425.7</v>
      </c>
    </row>
    <row r="406" spans="1:15" ht="12.75">
      <c r="A406" s="169"/>
      <c r="B406" s="11"/>
      <c r="C406" s="11"/>
      <c r="D406" s="11"/>
      <c r="E406" s="11"/>
      <c r="F406" s="11"/>
      <c r="G406" s="11"/>
      <c r="H406" s="11"/>
      <c r="I406" s="11"/>
      <c r="J406" s="11"/>
      <c r="K406" s="549"/>
      <c r="L406" s="11"/>
      <c r="M406" s="11"/>
      <c r="N406" s="11"/>
      <c r="O406" s="522"/>
    </row>
    <row r="407" spans="1:15" ht="12.75">
      <c r="A407" s="201" t="s">
        <v>386</v>
      </c>
      <c r="B407" s="11"/>
      <c r="C407" s="7" t="s">
        <v>107</v>
      </c>
      <c r="D407" s="355"/>
      <c r="E407" s="353"/>
      <c r="F407" s="353"/>
      <c r="G407" s="356"/>
      <c r="H407" s="353"/>
      <c r="I407" s="353"/>
      <c r="J407" s="353"/>
      <c r="O407" s="188"/>
    </row>
    <row r="408" spans="1:15" ht="12.75">
      <c r="A408" s="201" t="s">
        <v>387</v>
      </c>
      <c r="B408" s="11"/>
      <c r="C408" s="11" t="s">
        <v>87</v>
      </c>
      <c r="D408" s="353"/>
      <c r="E408" s="353"/>
      <c r="F408" s="353"/>
      <c r="G408" s="353"/>
      <c r="H408" s="353"/>
      <c r="I408" s="353"/>
      <c r="J408" s="353"/>
      <c r="O408" s="188"/>
    </row>
    <row r="409" spans="1:15" ht="12.75">
      <c r="A409" s="169" t="s">
        <v>388</v>
      </c>
      <c r="B409" s="11"/>
      <c r="C409" s="11" t="s">
        <v>277</v>
      </c>
      <c r="D409" s="11"/>
      <c r="E409" s="11"/>
      <c r="F409" s="11"/>
      <c r="G409" s="11"/>
      <c r="H409" s="173"/>
      <c r="I409" s="11"/>
      <c r="J409" s="11"/>
      <c r="L409" s="11"/>
      <c r="M409" s="11"/>
      <c r="N409" s="11"/>
      <c r="O409" s="522"/>
    </row>
    <row r="410" spans="1:15" ht="12.75">
      <c r="A410" s="169"/>
      <c r="B410" s="11"/>
      <c r="C410" s="11" t="s">
        <v>482</v>
      </c>
      <c r="D410" s="569">
        <v>400</v>
      </c>
      <c r="E410" s="11" t="s">
        <v>45</v>
      </c>
      <c r="F410" s="11" t="s">
        <v>252</v>
      </c>
      <c r="G410" s="170">
        <v>24.3</v>
      </c>
      <c r="H410" s="11" t="s">
        <v>112</v>
      </c>
      <c r="I410" s="11">
        <v>24.54</v>
      </c>
      <c r="J410" s="11"/>
      <c r="K410" s="3">
        <f>ROUND(G410*D410,2)</f>
        <v>9720</v>
      </c>
      <c r="L410" s="3">
        <f>ROUND(D410*I410,2)</f>
        <v>9816</v>
      </c>
      <c r="M410" s="11"/>
      <c r="N410" s="11"/>
      <c r="O410" s="425">
        <f>ROUND((K410+L410)/2,2)</f>
        <v>9768</v>
      </c>
    </row>
    <row r="411" spans="1:15" ht="12.75">
      <c r="A411" s="169"/>
      <c r="B411" s="11"/>
      <c r="C411" s="11" t="s">
        <v>8</v>
      </c>
      <c r="D411" s="171">
        <v>0.1</v>
      </c>
      <c r="E411" s="11" t="s">
        <v>9</v>
      </c>
      <c r="F411" s="11"/>
      <c r="G411" s="13"/>
      <c r="H411" s="11"/>
      <c r="I411" s="11"/>
      <c r="J411" s="11"/>
      <c r="K411" s="3">
        <f>ROUND(K410*D411,2)</f>
        <v>972</v>
      </c>
      <c r="L411" s="3">
        <f>ROUND(L410*D411,2)</f>
        <v>981.6</v>
      </c>
      <c r="M411" s="11"/>
      <c r="N411" s="11"/>
      <c r="O411" s="425">
        <f>ROUND((K411+L411)/2,2)</f>
        <v>976.8</v>
      </c>
    </row>
    <row r="412" spans="1:15" ht="12.75">
      <c r="A412" s="169"/>
      <c r="B412" s="11"/>
      <c r="C412" s="11"/>
      <c r="D412" s="171">
        <v>0.15</v>
      </c>
      <c r="E412" s="11" t="s">
        <v>10</v>
      </c>
      <c r="F412" s="11"/>
      <c r="G412" s="13"/>
      <c r="H412" s="11"/>
      <c r="I412" s="11"/>
      <c r="J412" s="11"/>
      <c r="K412" s="3">
        <f>ROUND(K410*D412,2)</f>
        <v>1458</v>
      </c>
      <c r="L412" s="3">
        <f>ROUND(L410*D412,2)</f>
        <v>1472.4</v>
      </c>
      <c r="M412" s="11"/>
      <c r="N412" s="11"/>
      <c r="O412" s="425">
        <f>ROUND((K412+L412)/2,2)</f>
        <v>1465.2</v>
      </c>
    </row>
    <row r="413" spans="1:15" ht="12.75">
      <c r="A413" s="169"/>
      <c r="B413" s="11"/>
      <c r="C413" s="11"/>
      <c r="D413" s="11"/>
      <c r="E413" s="11"/>
      <c r="F413" s="11"/>
      <c r="G413" s="11"/>
      <c r="H413" s="11"/>
      <c r="I413" s="11"/>
      <c r="J413" s="11"/>
      <c r="L413" s="11"/>
      <c r="M413" s="11"/>
      <c r="N413" s="11"/>
      <c r="O413" s="522"/>
    </row>
    <row r="414" spans="1:15" ht="12.75">
      <c r="A414" s="169" t="s">
        <v>389</v>
      </c>
      <c r="B414" s="11"/>
      <c r="C414" s="7" t="s">
        <v>11</v>
      </c>
      <c r="D414" s="11"/>
      <c r="E414" s="172" t="s">
        <v>12</v>
      </c>
      <c r="F414" s="11"/>
      <c r="G414" s="172" t="s">
        <v>112</v>
      </c>
      <c r="H414" s="11"/>
      <c r="I414" s="11"/>
      <c r="J414" s="11"/>
      <c r="L414" s="11"/>
      <c r="M414" s="11"/>
      <c r="N414" s="11"/>
      <c r="O414" s="522"/>
    </row>
    <row r="415" spans="1:15" ht="12.75">
      <c r="A415" s="169"/>
      <c r="B415" s="11"/>
      <c r="C415" s="11" t="s">
        <v>270</v>
      </c>
      <c r="D415" s="11" t="s">
        <v>189</v>
      </c>
      <c r="E415" s="173">
        <v>200</v>
      </c>
      <c r="F415" s="11"/>
      <c r="G415" s="212">
        <v>19.95</v>
      </c>
      <c r="H415" s="173"/>
      <c r="I415" s="13"/>
      <c r="J415" s="11"/>
      <c r="K415" s="3">
        <f>ROUND(E415*G415,2)</f>
        <v>3990</v>
      </c>
      <c r="L415" s="580">
        <f>ROUND(E415*G415,2)</f>
        <v>3990</v>
      </c>
      <c r="M415" s="11"/>
      <c r="N415" s="11"/>
      <c r="O415" s="425">
        <f>ROUND((K415+L415)/2,2)</f>
        <v>3990</v>
      </c>
    </row>
    <row r="416" spans="1:15" ht="12.75">
      <c r="A416" s="169"/>
      <c r="B416" s="11"/>
      <c r="C416" s="11" t="s">
        <v>271</v>
      </c>
      <c r="D416" s="11" t="s">
        <v>355</v>
      </c>
      <c r="E416" s="173">
        <v>200</v>
      </c>
      <c r="F416" s="11"/>
      <c r="G416" s="212">
        <v>96.61</v>
      </c>
      <c r="H416" s="11"/>
      <c r="I416" s="13"/>
      <c r="J416" s="11"/>
      <c r="K416" s="3">
        <f>ROUND(E416*G416,2)</f>
        <v>19322</v>
      </c>
      <c r="L416" s="580">
        <f>ROUND(E416*G416,2)</f>
        <v>19322</v>
      </c>
      <c r="M416" s="11"/>
      <c r="N416" s="11"/>
      <c r="O416" s="425">
        <f>ROUND((K416+L416)/2,2)</f>
        <v>19322</v>
      </c>
    </row>
    <row r="417" spans="1:15" ht="12.75">
      <c r="A417" s="169"/>
      <c r="B417" s="11"/>
      <c r="C417" s="11"/>
      <c r="D417" s="11"/>
      <c r="E417" s="173"/>
      <c r="F417" s="11"/>
      <c r="G417" s="212"/>
      <c r="H417" s="11"/>
      <c r="I417" s="13"/>
      <c r="J417" s="11"/>
      <c r="L417" s="11"/>
      <c r="M417" s="11"/>
      <c r="N417" s="11"/>
      <c r="O417" s="522"/>
    </row>
    <row r="418" spans="1:15" ht="12.75">
      <c r="A418" s="84"/>
      <c r="B418" s="11"/>
      <c r="C418" s="7" t="s">
        <v>108</v>
      </c>
      <c r="D418" s="11"/>
      <c r="E418" s="11"/>
      <c r="F418" s="11"/>
      <c r="G418" s="11"/>
      <c r="H418" s="11"/>
      <c r="I418" s="11"/>
      <c r="J418" s="11"/>
      <c r="O418" s="188"/>
    </row>
    <row r="419" spans="1:15" ht="12.75">
      <c r="A419" s="201" t="s">
        <v>390</v>
      </c>
      <c r="B419" s="11"/>
      <c r="C419" s="11" t="s">
        <v>278</v>
      </c>
      <c r="D419" s="11"/>
      <c r="E419" s="11"/>
      <c r="F419" s="11"/>
      <c r="G419" s="11"/>
      <c r="H419" s="173"/>
      <c r="I419" s="11"/>
      <c r="J419" s="11"/>
      <c r="O419" s="188"/>
    </row>
    <row r="420" spans="1:15" ht="12.75">
      <c r="A420" s="169"/>
      <c r="B420" s="11"/>
      <c r="C420" s="11" t="s">
        <v>482</v>
      </c>
      <c r="D420" s="569">
        <v>380</v>
      </c>
      <c r="E420" s="11" t="s">
        <v>45</v>
      </c>
      <c r="F420" s="11" t="s">
        <v>252</v>
      </c>
      <c r="G420" s="170">
        <v>22.17</v>
      </c>
      <c r="H420" s="11" t="s">
        <v>112</v>
      </c>
      <c r="I420" s="11">
        <v>22.39</v>
      </c>
      <c r="J420" s="11"/>
      <c r="K420" s="3">
        <f>ROUND(G420*D420,2)</f>
        <v>8424.6</v>
      </c>
      <c r="L420" s="3">
        <f>ROUND(D420*I420,2)</f>
        <v>8508.2</v>
      </c>
      <c r="M420" s="11"/>
      <c r="N420" s="11"/>
      <c r="O420" s="425">
        <f>ROUND((K420+L420)/2,2)</f>
        <v>8466.4</v>
      </c>
    </row>
    <row r="421" spans="1:15" ht="12.75">
      <c r="A421" s="169"/>
      <c r="B421" s="11"/>
      <c r="C421" s="11" t="s">
        <v>8</v>
      </c>
      <c r="D421" s="171">
        <v>0.1</v>
      </c>
      <c r="E421" s="11" t="s">
        <v>9</v>
      </c>
      <c r="F421" s="11"/>
      <c r="G421" s="13"/>
      <c r="H421" s="11"/>
      <c r="I421" s="11"/>
      <c r="J421" s="11"/>
      <c r="K421" s="3">
        <f>ROUND(K420*D421,2)</f>
        <v>842.46</v>
      </c>
      <c r="L421" s="3">
        <f>ROUND(L420*D421,2)</f>
        <v>850.82</v>
      </c>
      <c r="M421" s="11"/>
      <c r="N421" s="11"/>
      <c r="O421" s="425">
        <f>ROUND((K421+L421)/2,2)</f>
        <v>846.64</v>
      </c>
    </row>
    <row r="422" spans="1:15" ht="12.75">
      <c r="A422" s="169"/>
      <c r="B422" s="11"/>
      <c r="C422" s="11"/>
      <c r="D422" s="171">
        <v>0.15</v>
      </c>
      <c r="E422" s="11" t="s">
        <v>10</v>
      </c>
      <c r="F422" s="11"/>
      <c r="G422" s="13"/>
      <c r="H422" s="11"/>
      <c r="I422" s="11"/>
      <c r="J422" s="11"/>
      <c r="K422" s="3">
        <f>ROUND(K420*D422,2)</f>
        <v>1263.69</v>
      </c>
      <c r="L422" s="3">
        <f>ROUND(L420*D422,2)</f>
        <v>1276.23</v>
      </c>
      <c r="M422" s="11"/>
      <c r="N422" s="11"/>
      <c r="O422" s="425">
        <f>ROUND((K422+L422)/2,2)</f>
        <v>1269.96</v>
      </c>
    </row>
    <row r="423" spans="1:15" ht="12.75">
      <c r="A423" s="169"/>
      <c r="B423" s="11"/>
      <c r="C423" s="11"/>
      <c r="D423" s="171"/>
      <c r="E423" s="11"/>
      <c r="F423" s="11"/>
      <c r="G423" s="13"/>
      <c r="H423" s="11"/>
      <c r="I423" s="11"/>
      <c r="J423" s="11"/>
      <c r="L423" s="11"/>
      <c r="M423" s="11"/>
      <c r="N423" s="11"/>
      <c r="O423" s="522"/>
    </row>
    <row r="424" spans="1:15" ht="12.75">
      <c r="A424" s="169" t="s">
        <v>391</v>
      </c>
      <c r="B424" s="11"/>
      <c r="C424" s="7" t="s">
        <v>11</v>
      </c>
      <c r="D424" s="11"/>
      <c r="E424" s="172" t="s">
        <v>12</v>
      </c>
      <c r="F424" s="11"/>
      <c r="G424" s="172" t="s">
        <v>112</v>
      </c>
      <c r="H424" s="11"/>
      <c r="I424" s="11"/>
      <c r="J424" s="11"/>
      <c r="L424" s="11"/>
      <c r="M424" s="11"/>
      <c r="N424" s="11"/>
      <c r="O424" s="522"/>
    </row>
    <row r="425" spans="1:15" ht="12.75">
      <c r="A425" s="169"/>
      <c r="B425" s="11"/>
      <c r="C425" s="11" t="s">
        <v>269</v>
      </c>
      <c r="D425" s="11" t="s">
        <v>92</v>
      </c>
      <c r="E425" s="173">
        <v>0</v>
      </c>
      <c r="F425" s="11"/>
      <c r="G425" s="212">
        <v>4.58</v>
      </c>
      <c r="H425" s="11"/>
      <c r="I425" s="13"/>
      <c r="J425" s="11"/>
      <c r="K425" s="3">
        <f>ROUND(G425*E425,2)</f>
        <v>0</v>
      </c>
      <c r="L425" s="580">
        <f aca="true" t="shared" si="3" ref="L425:L434">ROUND(E425*G425,2)</f>
        <v>0</v>
      </c>
      <c r="M425" s="11"/>
      <c r="N425" s="11"/>
      <c r="O425" s="425">
        <f aca="true" t="shared" si="4" ref="O425:O432">ROUND((K425+L425)/2,2)</f>
        <v>0</v>
      </c>
    </row>
    <row r="426" spans="1:15" ht="12.75">
      <c r="A426" s="169"/>
      <c r="B426" s="11"/>
      <c r="C426" s="11" t="s">
        <v>269</v>
      </c>
      <c r="D426" s="11" t="s">
        <v>187</v>
      </c>
      <c r="E426" s="173">
        <v>0</v>
      </c>
      <c r="F426" s="11"/>
      <c r="G426" s="212">
        <v>7.58</v>
      </c>
      <c r="H426" s="11"/>
      <c r="I426" s="13"/>
      <c r="J426" s="11"/>
      <c r="K426" s="3">
        <f aca="true" t="shared" si="5" ref="K426:K434">ROUND(G426*E426,2)</f>
        <v>0</v>
      </c>
      <c r="L426" s="580">
        <f t="shared" si="3"/>
        <v>0</v>
      </c>
      <c r="M426" s="11"/>
      <c r="N426" s="11"/>
      <c r="O426" s="425">
        <f t="shared" si="4"/>
        <v>0</v>
      </c>
    </row>
    <row r="427" spans="1:15" ht="12.75">
      <c r="A427" s="169"/>
      <c r="B427" s="11"/>
      <c r="C427" s="11" t="s">
        <v>91</v>
      </c>
      <c r="D427" s="11" t="s">
        <v>346</v>
      </c>
      <c r="E427" s="173">
        <v>180</v>
      </c>
      <c r="F427" s="11"/>
      <c r="G427" s="212">
        <v>42.57</v>
      </c>
      <c r="H427" s="11"/>
      <c r="I427" s="13"/>
      <c r="J427" s="11"/>
      <c r="K427" s="3">
        <f t="shared" si="5"/>
        <v>7662.6</v>
      </c>
      <c r="L427" s="580">
        <f t="shared" si="3"/>
        <v>7662.6</v>
      </c>
      <c r="M427" s="11"/>
      <c r="N427" s="11"/>
      <c r="O427" s="425">
        <f t="shared" si="4"/>
        <v>7662.6</v>
      </c>
    </row>
    <row r="428" spans="1:15" ht="12.75">
      <c r="A428" s="169"/>
      <c r="B428" s="11"/>
      <c r="C428" s="11" t="s">
        <v>91</v>
      </c>
      <c r="D428" s="11" t="s">
        <v>94</v>
      </c>
      <c r="E428" s="173">
        <v>180</v>
      </c>
      <c r="F428" s="11"/>
      <c r="G428" s="212">
        <v>3.91</v>
      </c>
      <c r="H428" s="11"/>
      <c r="I428" s="13"/>
      <c r="J428" s="11"/>
      <c r="K428" s="3">
        <f t="shared" si="5"/>
        <v>703.8</v>
      </c>
      <c r="L428" s="580">
        <f t="shared" si="3"/>
        <v>703.8</v>
      </c>
      <c r="M428" s="11"/>
      <c r="N428" s="11"/>
      <c r="O428" s="425">
        <f t="shared" si="4"/>
        <v>703.8</v>
      </c>
    </row>
    <row r="429" spans="1:15" ht="12.75">
      <c r="A429" s="169"/>
      <c r="B429" s="11"/>
      <c r="C429" s="11" t="s">
        <v>91</v>
      </c>
      <c r="D429" s="11" t="s">
        <v>274</v>
      </c>
      <c r="E429" s="173">
        <v>0</v>
      </c>
      <c r="F429" s="11"/>
      <c r="G429" s="212">
        <v>26.64</v>
      </c>
      <c r="H429" s="11"/>
      <c r="I429" s="13"/>
      <c r="J429" s="11"/>
      <c r="K429" s="3">
        <f>ROUND(G429*E429,2)</f>
        <v>0</v>
      </c>
      <c r="L429" s="580">
        <f t="shared" si="3"/>
        <v>0</v>
      </c>
      <c r="M429" s="11"/>
      <c r="N429" s="11"/>
      <c r="O429" s="425">
        <f t="shared" si="4"/>
        <v>0</v>
      </c>
    </row>
    <row r="430" spans="1:15" ht="12.75">
      <c r="A430" s="169"/>
      <c r="B430" s="11"/>
      <c r="C430" s="11" t="s">
        <v>109</v>
      </c>
      <c r="D430" s="11" t="s">
        <v>290</v>
      </c>
      <c r="E430" s="173">
        <v>0</v>
      </c>
      <c r="F430" s="11"/>
      <c r="G430" s="212">
        <v>7.63</v>
      </c>
      <c r="H430" s="173"/>
      <c r="I430" s="13"/>
      <c r="J430" s="11"/>
      <c r="K430" s="3">
        <f t="shared" si="5"/>
        <v>0</v>
      </c>
      <c r="L430" s="580">
        <f t="shared" si="3"/>
        <v>0</v>
      </c>
      <c r="M430" s="11"/>
      <c r="N430" s="11"/>
      <c r="O430" s="425">
        <f t="shared" si="4"/>
        <v>0</v>
      </c>
    </row>
    <row r="431" spans="1:15" ht="12.75">
      <c r="A431" s="169"/>
      <c r="B431" s="11"/>
      <c r="C431" s="11" t="s">
        <v>109</v>
      </c>
      <c r="D431" s="11" t="s">
        <v>291</v>
      </c>
      <c r="E431" s="173">
        <v>0</v>
      </c>
      <c r="F431" s="11"/>
      <c r="G431" s="212">
        <v>14.71</v>
      </c>
      <c r="H431" s="173"/>
      <c r="I431" s="13"/>
      <c r="J431" s="11"/>
      <c r="K431" s="3">
        <f t="shared" si="5"/>
        <v>0</v>
      </c>
      <c r="L431" s="580">
        <f t="shared" si="3"/>
        <v>0</v>
      </c>
      <c r="M431" s="11"/>
      <c r="N431" s="11"/>
      <c r="O431" s="425">
        <f t="shared" si="4"/>
        <v>0</v>
      </c>
    </row>
    <row r="432" spans="1:15" ht="12.75">
      <c r="A432" s="169"/>
      <c r="B432" s="11"/>
      <c r="C432" s="11" t="s">
        <v>356</v>
      </c>
      <c r="D432" s="11" t="s">
        <v>357</v>
      </c>
      <c r="E432" s="173">
        <v>0</v>
      </c>
      <c r="F432" s="11"/>
      <c r="G432" s="212">
        <v>31.29</v>
      </c>
      <c r="H432" s="173"/>
      <c r="I432" s="13"/>
      <c r="J432" s="11"/>
      <c r="K432" s="3">
        <f t="shared" si="5"/>
        <v>0</v>
      </c>
      <c r="L432" s="580">
        <f t="shared" si="3"/>
        <v>0</v>
      </c>
      <c r="M432" s="11"/>
      <c r="N432" s="11"/>
      <c r="O432" s="425">
        <f t="shared" si="4"/>
        <v>0</v>
      </c>
    </row>
    <row r="433" spans="1:15" ht="12.75">
      <c r="A433" s="169"/>
      <c r="B433" s="11"/>
      <c r="C433" s="11"/>
      <c r="D433" s="11"/>
      <c r="E433" s="173"/>
      <c r="F433" s="11"/>
      <c r="G433" s="212"/>
      <c r="H433" s="173"/>
      <c r="I433" s="13"/>
      <c r="J433" s="11"/>
      <c r="L433" s="213"/>
      <c r="M433" s="11"/>
      <c r="N433" s="11"/>
      <c r="O433" s="522"/>
    </row>
    <row r="434" spans="1:15" ht="12.75">
      <c r="A434" s="169"/>
      <c r="B434" s="11"/>
      <c r="C434" s="11" t="s">
        <v>89</v>
      </c>
      <c r="D434" s="11" t="s">
        <v>90</v>
      </c>
      <c r="E434" s="173">
        <v>0</v>
      </c>
      <c r="F434" s="11"/>
      <c r="G434" s="212">
        <v>6.5</v>
      </c>
      <c r="H434" s="11"/>
      <c r="I434" s="13"/>
      <c r="J434" s="11"/>
      <c r="K434" s="3">
        <f t="shared" si="5"/>
        <v>0</v>
      </c>
      <c r="L434" s="580">
        <f t="shared" si="3"/>
        <v>0</v>
      </c>
      <c r="M434" s="11"/>
      <c r="N434" s="11"/>
      <c r="O434" s="425">
        <f>ROUND((K434+L434)/2,2)</f>
        <v>0</v>
      </c>
    </row>
    <row r="435" spans="1:15" ht="12.75">
      <c r="A435" s="169"/>
      <c r="B435" s="11"/>
      <c r="C435" s="11"/>
      <c r="D435" s="11"/>
      <c r="E435" s="173"/>
      <c r="F435" s="11"/>
      <c r="G435" s="212"/>
      <c r="H435" s="11"/>
      <c r="I435" s="13"/>
      <c r="J435" s="11"/>
      <c r="L435" s="580"/>
      <c r="M435" s="11"/>
      <c r="N435" s="11"/>
      <c r="O435" s="425"/>
    </row>
    <row r="436" spans="1:15" ht="12.75">
      <c r="A436" s="169"/>
      <c r="B436" s="11"/>
      <c r="C436" s="7" t="s">
        <v>483</v>
      </c>
      <c r="D436" s="7"/>
      <c r="E436" s="172"/>
      <c r="F436" s="7"/>
      <c r="G436" s="581"/>
      <c r="H436" s="11"/>
      <c r="I436" s="13"/>
      <c r="J436" s="11"/>
      <c r="L436" s="580"/>
      <c r="M436" s="11"/>
      <c r="N436" s="11"/>
      <c r="O436" s="425"/>
    </row>
    <row r="437" spans="1:15" ht="12.75">
      <c r="A437" s="169"/>
      <c r="B437" s="11"/>
      <c r="C437" s="11" t="s">
        <v>484</v>
      </c>
      <c r="D437" s="11"/>
      <c r="E437" s="173"/>
      <c r="F437" s="11"/>
      <c r="G437" s="212"/>
      <c r="H437" s="11"/>
      <c r="I437" s="13"/>
      <c r="J437" s="11"/>
      <c r="L437" s="580"/>
      <c r="M437" s="11"/>
      <c r="N437" s="11"/>
      <c r="O437" s="425"/>
    </row>
    <row r="438" spans="1:15" ht="12.75">
      <c r="A438" s="169"/>
      <c r="B438" s="11"/>
      <c r="C438" s="11" t="s">
        <v>482</v>
      </c>
      <c r="D438" s="569">
        <v>300</v>
      </c>
      <c r="E438" s="11" t="s">
        <v>45</v>
      </c>
      <c r="F438" s="11" t="s">
        <v>252</v>
      </c>
      <c r="G438" s="170">
        <v>24.3</v>
      </c>
      <c r="H438" s="11" t="s">
        <v>112</v>
      </c>
      <c r="I438" s="11">
        <v>24.54</v>
      </c>
      <c r="J438" s="11"/>
      <c r="K438" s="3">
        <f>ROUND(G438*D438,2)</f>
        <v>7290</v>
      </c>
      <c r="L438" s="3">
        <f>ROUND(D438*I438,2)</f>
        <v>7362</v>
      </c>
      <c r="M438" s="11"/>
      <c r="N438" s="11"/>
      <c r="O438" s="425">
        <f>ROUND((K438+L438)/2,2)</f>
        <v>7326</v>
      </c>
    </row>
    <row r="439" spans="1:15" ht="12.75">
      <c r="A439" s="169"/>
      <c r="B439" s="11"/>
      <c r="C439" s="11" t="s">
        <v>8</v>
      </c>
      <c r="D439" s="171">
        <v>0.1</v>
      </c>
      <c r="E439" s="11" t="s">
        <v>9</v>
      </c>
      <c r="F439" s="11"/>
      <c r="G439" s="13"/>
      <c r="H439" s="11"/>
      <c r="I439" s="11"/>
      <c r="J439" s="11"/>
      <c r="K439" s="3">
        <f>ROUND(K438*D439,2)</f>
        <v>729</v>
      </c>
      <c r="L439" s="3">
        <f>ROUND(L438*D439,2)</f>
        <v>736.2</v>
      </c>
      <c r="M439" s="11"/>
      <c r="N439" s="11"/>
      <c r="O439" s="425">
        <f>ROUND((K439+L439)/2,2)</f>
        <v>732.6</v>
      </c>
    </row>
    <row r="440" spans="1:15" ht="12.75">
      <c r="A440" s="169"/>
      <c r="B440" s="11"/>
      <c r="C440" s="11"/>
      <c r="D440" s="171">
        <v>0.15</v>
      </c>
      <c r="E440" s="11" t="s">
        <v>10</v>
      </c>
      <c r="F440" s="11"/>
      <c r="G440" s="13"/>
      <c r="H440" s="11"/>
      <c r="I440" s="11"/>
      <c r="J440" s="11"/>
      <c r="K440" s="3">
        <f>ROUND(K438*D440,2)</f>
        <v>1093.5</v>
      </c>
      <c r="L440" s="3">
        <f>ROUND(L438*D440,2)</f>
        <v>1104.3</v>
      </c>
      <c r="M440" s="11"/>
      <c r="N440" s="11"/>
      <c r="O440" s="425">
        <f>ROUND((K440+L440)/2,2)</f>
        <v>1098.9</v>
      </c>
    </row>
    <row r="441" spans="1:15" ht="12.75">
      <c r="A441" s="169"/>
      <c r="B441" s="11"/>
      <c r="C441" s="11"/>
      <c r="D441" s="171"/>
      <c r="E441" s="11"/>
      <c r="F441" s="11"/>
      <c r="G441" s="13"/>
      <c r="H441" s="11"/>
      <c r="I441" s="11"/>
      <c r="J441" s="11"/>
      <c r="L441" s="3"/>
      <c r="M441" s="11"/>
      <c r="N441" s="11"/>
      <c r="O441" s="425"/>
    </row>
    <row r="442" spans="1:15" ht="12.75">
      <c r="A442" s="169"/>
      <c r="B442" s="11"/>
      <c r="C442" s="7" t="s">
        <v>11</v>
      </c>
      <c r="D442" s="11"/>
      <c r="E442" s="172" t="s">
        <v>12</v>
      </c>
      <c r="F442" s="11"/>
      <c r="G442" s="172" t="s">
        <v>112</v>
      </c>
      <c r="H442" s="11"/>
      <c r="I442" s="11"/>
      <c r="J442" s="11"/>
      <c r="L442" s="3"/>
      <c r="M442" s="11"/>
      <c r="N442" s="11"/>
      <c r="O442" s="425"/>
    </row>
    <row r="443" spans="1:15" ht="12.75">
      <c r="A443" s="169"/>
      <c r="B443" s="11"/>
      <c r="C443" s="11" t="s">
        <v>485</v>
      </c>
      <c r="D443" s="11"/>
      <c r="E443" s="173">
        <v>100</v>
      </c>
      <c r="F443" s="11"/>
      <c r="G443" s="173">
        <v>7.63</v>
      </c>
      <c r="H443" s="11"/>
      <c r="I443" s="11"/>
      <c r="J443" s="11"/>
      <c r="K443" s="3">
        <f>ROUND(G443*E443,2)</f>
        <v>763</v>
      </c>
      <c r="L443" s="580">
        <f>ROUND(E443*G443,2)</f>
        <v>763</v>
      </c>
      <c r="M443" s="11"/>
      <c r="N443" s="11"/>
      <c r="O443" s="425">
        <f>ROUND((K443+L443)/2,2)</f>
        <v>763</v>
      </c>
    </row>
    <row r="444" spans="1:15" ht="12.75">
      <c r="A444" s="169"/>
      <c r="B444" s="11"/>
      <c r="C444" s="11" t="s">
        <v>486</v>
      </c>
      <c r="D444" s="11" t="s">
        <v>487</v>
      </c>
      <c r="E444" s="173">
        <v>100</v>
      </c>
      <c r="F444" s="11"/>
      <c r="G444" s="173">
        <v>14.71</v>
      </c>
      <c r="H444" s="11"/>
      <c r="I444" s="11"/>
      <c r="J444" s="11"/>
      <c r="K444" s="3">
        <f>ROUND(G444*E444,2)</f>
        <v>1471</v>
      </c>
      <c r="L444" s="580">
        <f>ROUND(E444*G444,2)</f>
        <v>1471</v>
      </c>
      <c r="M444" s="11"/>
      <c r="N444" s="11"/>
      <c r="O444" s="425">
        <f>ROUND((K444+L444)/2,2)</f>
        <v>1471</v>
      </c>
    </row>
    <row r="445" spans="1:15" ht="12.75">
      <c r="A445" s="169"/>
      <c r="B445" s="11"/>
      <c r="C445" s="7" t="s">
        <v>269</v>
      </c>
      <c r="D445" s="11" t="s">
        <v>92</v>
      </c>
      <c r="E445" s="172">
        <v>30</v>
      </c>
      <c r="F445" s="11"/>
      <c r="G445" s="173">
        <v>4.58</v>
      </c>
      <c r="H445" s="11"/>
      <c r="I445" s="11"/>
      <c r="J445" s="11"/>
      <c r="K445" s="3">
        <f>ROUND(G445*E445,2)</f>
        <v>137.4</v>
      </c>
      <c r="L445" s="580">
        <f>ROUND(E445*G445,2)</f>
        <v>137.4</v>
      </c>
      <c r="M445" s="11"/>
      <c r="N445" s="11"/>
      <c r="O445" s="425">
        <f>ROUND((K445+L445)/2,2)</f>
        <v>137.4</v>
      </c>
    </row>
    <row r="446" spans="1:15" ht="12.75">
      <c r="A446" s="169"/>
      <c r="B446" s="11"/>
      <c r="C446" s="11" t="s">
        <v>269</v>
      </c>
      <c r="D446" s="171" t="s">
        <v>93</v>
      </c>
      <c r="E446" s="173">
        <v>30</v>
      </c>
      <c r="F446" s="11"/>
      <c r="G446" s="173">
        <v>2.29</v>
      </c>
      <c r="H446" s="11"/>
      <c r="I446" s="11"/>
      <c r="J446" s="11"/>
      <c r="K446" s="3">
        <f>ROUND(G446*E446,2)</f>
        <v>68.7</v>
      </c>
      <c r="L446" s="580">
        <f>ROUND(E446*G446,2)</f>
        <v>68.7</v>
      </c>
      <c r="M446" s="11"/>
      <c r="N446" s="11"/>
      <c r="O446" s="425">
        <f>ROUND((K446+L446)/2,2)</f>
        <v>68.7</v>
      </c>
    </row>
    <row r="447" spans="1:15" ht="12.75">
      <c r="A447" s="169"/>
      <c r="B447" s="11"/>
      <c r="C447" s="11" t="s">
        <v>271</v>
      </c>
      <c r="D447" s="171" t="s">
        <v>477</v>
      </c>
      <c r="E447" s="173">
        <v>10</v>
      </c>
      <c r="F447" s="11"/>
      <c r="G447" s="173">
        <v>6.54</v>
      </c>
      <c r="H447" s="11"/>
      <c r="I447" s="11"/>
      <c r="J447" s="11"/>
      <c r="K447" s="3">
        <f>ROUND(G447*E447,2)</f>
        <v>65.4</v>
      </c>
      <c r="L447" s="580">
        <f>ROUND(E447*G447,2)</f>
        <v>65.4</v>
      </c>
      <c r="M447" s="11"/>
      <c r="N447" s="11"/>
      <c r="O447" s="425">
        <f>ROUND((K447+L447)/2,2)</f>
        <v>65.4</v>
      </c>
    </row>
    <row r="448" spans="1:15" ht="12.75">
      <c r="A448" s="169"/>
      <c r="B448" s="11"/>
      <c r="C448" s="11"/>
      <c r="D448" s="11"/>
      <c r="E448" s="354"/>
      <c r="F448" s="353"/>
      <c r="G448" s="357"/>
      <c r="H448" s="353"/>
      <c r="I448" s="356"/>
      <c r="J448" s="353"/>
      <c r="K448" s="352"/>
      <c r="O448" s="188"/>
    </row>
    <row r="449" spans="1:15" ht="12.75">
      <c r="A449" s="201" t="s">
        <v>392</v>
      </c>
      <c r="B449" s="11"/>
      <c r="C449" s="7" t="s">
        <v>293</v>
      </c>
      <c r="D449" s="171"/>
      <c r="E449" s="353"/>
      <c r="F449" s="353"/>
      <c r="G449" s="356"/>
      <c r="H449" s="353"/>
      <c r="I449" s="353"/>
      <c r="J449" s="353"/>
      <c r="K449" s="352"/>
      <c r="O449" s="188"/>
    </row>
    <row r="450" spans="1:15" ht="12.75">
      <c r="A450" s="169"/>
      <c r="B450" s="11"/>
      <c r="C450" s="11" t="s">
        <v>279</v>
      </c>
      <c r="D450" s="11"/>
      <c r="E450" s="11"/>
      <c r="F450" s="11"/>
      <c r="G450" s="11"/>
      <c r="H450" s="173"/>
      <c r="I450" s="11"/>
      <c r="J450" s="11"/>
      <c r="L450" s="11"/>
      <c r="M450" s="11"/>
      <c r="N450" s="11"/>
      <c r="O450" s="522"/>
    </row>
    <row r="451" spans="1:15" ht="12.75">
      <c r="A451" s="169"/>
      <c r="B451" s="11"/>
      <c r="C451" s="11" t="s">
        <v>497</v>
      </c>
      <c r="D451" s="569">
        <v>100</v>
      </c>
      <c r="E451" s="11" t="s">
        <v>7</v>
      </c>
      <c r="F451" s="11" t="s">
        <v>252</v>
      </c>
      <c r="G451" s="170">
        <v>24.3</v>
      </c>
      <c r="H451" s="11" t="s">
        <v>112</v>
      </c>
      <c r="I451" s="11">
        <v>24.54</v>
      </c>
      <c r="J451" s="11"/>
      <c r="K451" s="3">
        <f>ROUND(G451*D451,2)</f>
        <v>2430</v>
      </c>
      <c r="L451" s="3">
        <f>ROUND(D451*I451,2)</f>
        <v>2454</v>
      </c>
      <c r="M451" s="11"/>
      <c r="N451" s="11"/>
      <c r="O451" s="425">
        <f>ROUND((K451+L451)/2,2)</f>
        <v>2442</v>
      </c>
    </row>
    <row r="452" spans="1:15" ht="12.75">
      <c r="A452" s="169"/>
      <c r="B452" s="11"/>
      <c r="C452" s="11" t="s">
        <v>8</v>
      </c>
      <c r="D452" s="171">
        <v>0.1</v>
      </c>
      <c r="E452" s="11" t="s">
        <v>9</v>
      </c>
      <c r="F452" s="11"/>
      <c r="G452" s="13"/>
      <c r="H452" s="11"/>
      <c r="I452" s="11"/>
      <c r="J452" s="11"/>
      <c r="K452" s="3">
        <f>ROUND(K451*D452,2)</f>
        <v>243</v>
      </c>
      <c r="L452" s="3">
        <f>ROUND(L451*D452,2)</f>
        <v>245.4</v>
      </c>
      <c r="M452" s="11"/>
      <c r="N452" s="11"/>
      <c r="O452" s="425">
        <f>ROUND((K452+L452)/2,2)</f>
        <v>244.2</v>
      </c>
    </row>
    <row r="453" spans="1:15" ht="12.75">
      <c r="A453" s="169"/>
      <c r="B453" s="11"/>
      <c r="C453" s="11"/>
      <c r="D453" s="171">
        <v>0.15</v>
      </c>
      <c r="E453" s="11" t="s">
        <v>10</v>
      </c>
      <c r="F453" s="11"/>
      <c r="G453" s="13"/>
      <c r="H453" s="11"/>
      <c r="I453" s="11"/>
      <c r="J453" s="11"/>
      <c r="K453" s="3">
        <f>ROUND(K451*D453,2)</f>
        <v>364.5</v>
      </c>
      <c r="L453" s="3">
        <f>ROUND(L451*D453,2)</f>
        <v>368.1</v>
      </c>
      <c r="M453" s="11"/>
      <c r="N453" s="11"/>
      <c r="O453" s="425">
        <f>ROUND((K453+L453)/2,2)</f>
        <v>366.3</v>
      </c>
    </row>
    <row r="454" spans="1:15" ht="12.75">
      <c r="A454" s="169"/>
      <c r="B454" s="11"/>
      <c r="C454" s="11"/>
      <c r="D454" s="171"/>
      <c r="E454" s="11"/>
      <c r="F454" s="11"/>
      <c r="G454" s="13"/>
      <c r="H454" s="11"/>
      <c r="I454" s="11"/>
      <c r="J454" s="11"/>
      <c r="L454" s="11"/>
      <c r="M454" s="11"/>
      <c r="N454" s="11"/>
      <c r="O454" s="522"/>
    </row>
    <row r="455" spans="1:15" ht="12.75">
      <c r="A455" s="169" t="s">
        <v>393</v>
      </c>
      <c r="B455" s="11"/>
      <c r="C455" s="7" t="s">
        <v>11</v>
      </c>
      <c r="D455" s="11"/>
      <c r="E455" s="172" t="s">
        <v>12</v>
      </c>
      <c r="F455" s="11"/>
      <c r="G455" s="172" t="s">
        <v>112</v>
      </c>
      <c r="H455" s="11"/>
      <c r="I455" s="11"/>
      <c r="J455" s="11"/>
      <c r="L455" s="11"/>
      <c r="M455" s="11"/>
      <c r="N455" s="11"/>
      <c r="O455" s="522"/>
    </row>
    <row r="456" spans="1:16" ht="12.75">
      <c r="A456" s="169"/>
      <c r="B456" s="11"/>
      <c r="C456" s="11" t="s">
        <v>59</v>
      </c>
      <c r="D456" s="11" t="s">
        <v>303</v>
      </c>
      <c r="E456" s="173">
        <v>60</v>
      </c>
      <c r="F456" s="11"/>
      <c r="G456" s="212">
        <v>16.42</v>
      </c>
      <c r="H456" s="11"/>
      <c r="I456" s="13"/>
      <c r="J456" s="11"/>
      <c r="K456" s="3">
        <f>ROUND(G456*E456,2)</f>
        <v>985.2</v>
      </c>
      <c r="L456" s="580">
        <f>ROUND(E456*G456,2)</f>
        <v>985.2</v>
      </c>
      <c r="M456" s="11"/>
      <c r="N456" s="11"/>
      <c r="O456" s="425">
        <f>ROUND((K456+L456)/2,2)</f>
        <v>985.2</v>
      </c>
      <c r="P456" s="236"/>
    </row>
    <row r="457" spans="1:15" ht="12.75">
      <c r="A457" s="169"/>
      <c r="B457" s="11"/>
      <c r="C457" s="11"/>
      <c r="D457" s="11"/>
      <c r="E457" s="173"/>
      <c r="F457" s="11"/>
      <c r="G457" s="212"/>
      <c r="H457" s="11"/>
      <c r="I457" s="13"/>
      <c r="J457" s="11"/>
      <c r="L457" s="11"/>
      <c r="M457" s="11"/>
      <c r="N457" s="11"/>
      <c r="O457" s="522"/>
    </row>
    <row r="458" spans="1:15" ht="12.75">
      <c r="A458" s="582"/>
      <c r="B458" s="220"/>
      <c r="C458" s="220" t="s">
        <v>272</v>
      </c>
      <c r="D458" s="220"/>
      <c r="E458" s="221"/>
      <c r="F458" s="220"/>
      <c r="G458" s="228"/>
      <c r="H458" s="220"/>
      <c r="I458" s="229"/>
      <c r="J458" s="220"/>
      <c r="K458" s="154">
        <f>SUM(K354:K457)</f>
        <v>235370.47</v>
      </c>
      <c r="L458" s="154">
        <f>SUM(L354:L457)</f>
        <v>235953.73000000004</v>
      </c>
      <c r="M458" s="220"/>
      <c r="N458" s="220"/>
      <c r="O458" s="489">
        <f>ROUND((K458+L458)/2,2)</f>
        <v>235662.1</v>
      </c>
    </row>
    <row r="459" spans="1:15" ht="12.75">
      <c r="A459" s="169"/>
      <c r="B459" s="11"/>
      <c r="C459" s="11"/>
      <c r="D459" s="11"/>
      <c r="E459" s="173"/>
      <c r="F459" s="11"/>
      <c r="G459" s="212"/>
      <c r="H459" s="11"/>
      <c r="I459" s="13"/>
      <c r="J459" s="11"/>
      <c r="L459" s="3"/>
      <c r="M459" s="11"/>
      <c r="N459" s="11"/>
      <c r="O459" s="425"/>
    </row>
    <row r="460" spans="1:15" ht="12.75">
      <c r="A460" s="169"/>
      <c r="B460" s="11"/>
      <c r="C460" s="11"/>
      <c r="D460" s="11"/>
      <c r="E460" s="173"/>
      <c r="F460" s="11"/>
      <c r="G460" s="212"/>
      <c r="H460" s="11"/>
      <c r="I460" s="13"/>
      <c r="J460" s="11"/>
      <c r="L460" s="3"/>
      <c r="M460" s="11"/>
      <c r="N460" s="11"/>
      <c r="O460" s="425"/>
    </row>
    <row r="461" spans="1:15" ht="12.75">
      <c r="A461" s="175"/>
      <c r="B461" s="176"/>
      <c r="C461" s="176" t="s">
        <v>272</v>
      </c>
      <c r="D461" s="176"/>
      <c r="E461" s="181"/>
      <c r="F461" s="176"/>
      <c r="G461" s="185"/>
      <c r="H461" s="176"/>
      <c r="I461" s="214"/>
      <c r="J461" s="176"/>
      <c r="K461" s="4">
        <f>K458</f>
        <v>235370.47</v>
      </c>
      <c r="L461" s="4">
        <f>L458</f>
        <v>235953.73000000004</v>
      </c>
      <c r="M461" s="176"/>
      <c r="N461" s="176"/>
      <c r="O461" s="488">
        <f>ROUND((K461+L461)/2,2)</f>
        <v>235662.1</v>
      </c>
    </row>
    <row r="462" spans="1:15" ht="12.75">
      <c r="A462" s="11"/>
      <c r="B462" s="11"/>
      <c r="C462" s="11"/>
      <c r="D462" s="11"/>
      <c r="E462" s="173"/>
      <c r="F462" s="11"/>
      <c r="G462" s="212"/>
      <c r="H462" s="11"/>
      <c r="I462" s="13"/>
      <c r="J462" s="11"/>
      <c r="L462" s="11"/>
      <c r="M462" s="11"/>
      <c r="N462" s="11"/>
      <c r="O462" s="11"/>
    </row>
    <row r="463" spans="1:15" ht="12.75">
      <c r="A463" s="583" t="s">
        <v>394</v>
      </c>
      <c r="B463" s="165"/>
      <c r="C463" s="496" t="s">
        <v>105</v>
      </c>
      <c r="D463" s="165"/>
      <c r="E463" s="165"/>
      <c r="F463" s="165"/>
      <c r="G463" s="497"/>
      <c r="H463" s="165"/>
      <c r="I463" s="165"/>
      <c r="J463" s="165"/>
      <c r="K463" s="433"/>
      <c r="L463" s="165"/>
      <c r="M463" s="165"/>
      <c r="N463" s="165"/>
      <c r="O463" s="579"/>
    </row>
    <row r="464" spans="1:15" ht="12.75">
      <c r="A464" s="169" t="s">
        <v>395</v>
      </c>
      <c r="B464" s="11"/>
      <c r="C464" s="11" t="s">
        <v>280</v>
      </c>
      <c r="D464" s="11"/>
      <c r="E464" s="11"/>
      <c r="F464" s="11"/>
      <c r="G464" s="170"/>
      <c r="H464" s="173"/>
      <c r="I464" s="11"/>
      <c r="J464" s="11"/>
      <c r="L464" s="11"/>
      <c r="M464" s="11"/>
      <c r="N464" s="11"/>
      <c r="O464" s="522"/>
    </row>
    <row r="465" spans="1:15" ht="12.75">
      <c r="A465" s="169"/>
      <c r="B465" s="11"/>
      <c r="C465" s="11" t="s">
        <v>491</v>
      </c>
      <c r="D465" s="11">
        <v>91</v>
      </c>
      <c r="E465" s="11" t="s">
        <v>45</v>
      </c>
      <c r="F465" s="11" t="s">
        <v>252</v>
      </c>
      <c r="G465" s="170">
        <v>24.3</v>
      </c>
      <c r="H465" s="11" t="s">
        <v>112</v>
      </c>
      <c r="I465" s="11">
        <v>24.54</v>
      </c>
      <c r="J465" s="11"/>
      <c r="K465" s="3">
        <f>ROUND(G465*D465,2)</f>
        <v>2211.3</v>
      </c>
      <c r="L465" s="3">
        <f>ROUND(D465*I465,2)</f>
        <v>2233.14</v>
      </c>
      <c r="M465" s="11"/>
      <c r="N465" s="11"/>
      <c r="O465" s="425">
        <f>ROUND((K465+L465)/2,2)</f>
        <v>2222.22</v>
      </c>
    </row>
    <row r="466" spans="1:15" ht="12.75">
      <c r="A466" s="169"/>
      <c r="B466" s="11"/>
      <c r="C466" s="11" t="s">
        <v>8</v>
      </c>
      <c r="D466" s="171">
        <v>0.1</v>
      </c>
      <c r="E466" s="11" t="s">
        <v>9</v>
      </c>
      <c r="F466" s="11"/>
      <c r="G466" s="375"/>
      <c r="H466" s="11"/>
      <c r="I466" s="11"/>
      <c r="J466" s="11"/>
      <c r="K466" s="3">
        <f>ROUND(K465*D466,2)</f>
        <v>221.13</v>
      </c>
      <c r="L466" s="3">
        <f>ROUND(L465*D466,2)</f>
        <v>223.31</v>
      </c>
      <c r="M466" s="11"/>
      <c r="N466" s="11"/>
      <c r="O466" s="425">
        <f>ROUND((K466+L466)/2,2)</f>
        <v>222.22</v>
      </c>
    </row>
    <row r="467" spans="1:15" ht="12.75">
      <c r="A467" s="169"/>
      <c r="B467" s="11"/>
      <c r="C467" s="11"/>
      <c r="D467" s="171">
        <v>0.15</v>
      </c>
      <c r="E467" s="11" t="s">
        <v>10</v>
      </c>
      <c r="F467" s="11"/>
      <c r="G467" s="375"/>
      <c r="H467" s="11"/>
      <c r="I467" s="11"/>
      <c r="J467" s="11"/>
      <c r="K467" s="3">
        <f>ROUND(K465*D467,2)</f>
        <v>331.7</v>
      </c>
      <c r="L467" s="3">
        <f>ROUND(L465*D467,2)</f>
        <v>334.97</v>
      </c>
      <c r="M467" s="11"/>
      <c r="N467" s="11"/>
      <c r="O467" s="425">
        <f>ROUND((K467+L467)/2,2)</f>
        <v>333.34</v>
      </c>
    </row>
    <row r="468" spans="1:15" ht="12.75">
      <c r="A468" s="169"/>
      <c r="B468" s="11"/>
      <c r="C468" s="11"/>
      <c r="D468" s="171"/>
      <c r="E468" s="11"/>
      <c r="F468" s="11"/>
      <c r="G468" s="375"/>
      <c r="H468" s="11"/>
      <c r="I468" s="11"/>
      <c r="J468" s="11"/>
      <c r="L468" s="11"/>
      <c r="M468" s="11"/>
      <c r="N468" s="11"/>
      <c r="O468" s="522"/>
    </row>
    <row r="469" spans="1:15" ht="12.75">
      <c r="A469" s="169" t="s">
        <v>396</v>
      </c>
      <c r="B469" s="11"/>
      <c r="C469" s="7" t="s">
        <v>11</v>
      </c>
      <c r="D469" s="11"/>
      <c r="E469" s="172" t="s">
        <v>12</v>
      </c>
      <c r="F469" s="11"/>
      <c r="G469" s="581" t="s">
        <v>112</v>
      </c>
      <c r="H469" s="11"/>
      <c r="I469" s="11"/>
      <c r="J469" s="11"/>
      <c r="L469" s="11"/>
      <c r="M469" s="11"/>
      <c r="N469" s="11"/>
      <c r="O469" s="522"/>
    </row>
    <row r="470" spans="1:15" ht="12.75">
      <c r="A470" s="169"/>
      <c r="B470" s="11"/>
      <c r="C470" s="11" t="s">
        <v>59</v>
      </c>
      <c r="D470" s="11" t="s">
        <v>303</v>
      </c>
      <c r="E470" s="173">
        <v>60</v>
      </c>
      <c r="F470" s="11"/>
      <c r="G470" s="212">
        <f>G456</f>
        <v>16.42</v>
      </c>
      <c r="H470" s="11"/>
      <c r="I470" s="13"/>
      <c r="J470" s="11"/>
      <c r="K470" s="3">
        <f>ROUND(G470*E470,2)</f>
        <v>985.2</v>
      </c>
      <c r="L470" s="580">
        <f>ROUND(E470*G470,2)</f>
        <v>985.2</v>
      </c>
      <c r="M470" s="11"/>
      <c r="N470" s="11"/>
      <c r="O470" s="425">
        <f>ROUND((K470+L470)/2,2)</f>
        <v>985.2</v>
      </c>
    </row>
    <row r="471" spans="1:15" ht="12.75">
      <c r="A471" s="169"/>
      <c r="B471" s="11"/>
      <c r="C471" s="11" t="s">
        <v>488</v>
      </c>
      <c r="D471" s="11" t="s">
        <v>489</v>
      </c>
      <c r="E471" s="173">
        <v>1</v>
      </c>
      <c r="F471" s="11"/>
      <c r="G471" s="212">
        <v>31.29</v>
      </c>
      <c r="H471" s="11"/>
      <c r="I471" s="13"/>
      <c r="J471" s="11"/>
      <c r="K471" s="3">
        <f>ROUND(G471*E471,2)</f>
        <v>31.29</v>
      </c>
      <c r="L471" s="580">
        <f>ROUND(E471*G471,2)</f>
        <v>31.29</v>
      </c>
      <c r="M471" s="11"/>
      <c r="N471" s="11"/>
      <c r="O471" s="425">
        <f>ROUND((K471+L471)/2,2)</f>
        <v>31.29</v>
      </c>
    </row>
    <row r="472" spans="1:15" ht="12.75">
      <c r="A472" s="169"/>
      <c r="B472" s="11"/>
      <c r="C472" s="11" t="s">
        <v>467</v>
      </c>
      <c r="D472" s="11"/>
      <c r="E472" s="173">
        <v>30</v>
      </c>
      <c r="F472" s="11"/>
      <c r="G472" s="212">
        <v>10.69</v>
      </c>
      <c r="H472" s="11"/>
      <c r="I472" s="13"/>
      <c r="J472" s="11"/>
      <c r="K472" s="3">
        <f>ROUND(G472*E472,2)</f>
        <v>320.7</v>
      </c>
      <c r="L472" s="580">
        <f>ROUND(E472*G472,2)</f>
        <v>320.7</v>
      </c>
      <c r="M472" s="11"/>
      <c r="N472" s="11"/>
      <c r="O472" s="425">
        <f>ROUND((K472+L472)/2,2)</f>
        <v>320.7</v>
      </c>
    </row>
    <row r="473" spans="1:15" ht="12.75">
      <c r="A473" s="169"/>
      <c r="B473" s="11"/>
      <c r="C473" s="11"/>
      <c r="D473" s="11"/>
      <c r="E473" s="11"/>
      <c r="F473" s="11"/>
      <c r="G473" s="11"/>
      <c r="H473" s="11"/>
      <c r="I473" s="11"/>
      <c r="J473" s="11"/>
      <c r="K473" s="549"/>
      <c r="L473" s="213"/>
      <c r="M473" s="11"/>
      <c r="N473" s="11"/>
      <c r="O473" s="522"/>
    </row>
    <row r="474" spans="1:15" ht="12.75">
      <c r="A474" s="169" t="s">
        <v>397</v>
      </c>
      <c r="B474" s="11"/>
      <c r="C474" s="11" t="s">
        <v>88</v>
      </c>
      <c r="D474" s="11"/>
      <c r="E474" s="11"/>
      <c r="F474" s="11"/>
      <c r="G474" s="170"/>
      <c r="H474" s="11"/>
      <c r="I474" s="11"/>
      <c r="J474" s="11"/>
      <c r="L474" s="213"/>
      <c r="M474" s="11"/>
      <c r="N474" s="11"/>
      <c r="O474" s="522"/>
    </row>
    <row r="475" spans="1:15" ht="12.75">
      <c r="A475" s="169"/>
      <c r="B475" s="11"/>
      <c r="C475" s="11" t="s">
        <v>281</v>
      </c>
      <c r="D475" s="11"/>
      <c r="E475" s="11"/>
      <c r="F475" s="11"/>
      <c r="G475" s="170"/>
      <c r="H475" s="173"/>
      <c r="I475" s="11"/>
      <c r="J475" s="11"/>
      <c r="L475" s="213"/>
      <c r="M475" s="11"/>
      <c r="N475" s="11"/>
      <c r="O475" s="522"/>
    </row>
    <row r="476" spans="1:15" ht="12.75">
      <c r="A476" s="169"/>
      <c r="B476" s="11"/>
      <c r="C476" s="11" t="s">
        <v>497</v>
      </c>
      <c r="D476" s="569">
        <v>180</v>
      </c>
      <c r="E476" s="11" t="s">
        <v>7</v>
      </c>
      <c r="F476" s="11" t="s">
        <v>252</v>
      </c>
      <c r="G476" s="170">
        <v>24.3</v>
      </c>
      <c r="H476" s="11" t="s">
        <v>112</v>
      </c>
      <c r="I476" s="11">
        <v>24.54</v>
      </c>
      <c r="J476" s="11"/>
      <c r="K476" s="3">
        <f>ROUND(G476*D476,2)</f>
        <v>4374</v>
      </c>
      <c r="L476" s="3">
        <f>ROUND(D476*I476,2)</f>
        <v>4417.2</v>
      </c>
      <c r="M476" s="11"/>
      <c r="N476" s="11"/>
      <c r="O476" s="425">
        <f>ROUND((K476+L476)/2,2)</f>
        <v>4395.6</v>
      </c>
    </row>
    <row r="477" spans="1:15" ht="12.75">
      <c r="A477" s="169"/>
      <c r="B477" s="11"/>
      <c r="C477" s="11" t="s">
        <v>8</v>
      </c>
      <c r="D477" s="171">
        <v>0.1</v>
      </c>
      <c r="E477" s="11" t="s">
        <v>9</v>
      </c>
      <c r="F477" s="11"/>
      <c r="G477" s="375"/>
      <c r="H477" s="11"/>
      <c r="I477" s="11"/>
      <c r="J477" s="11"/>
      <c r="K477" s="3">
        <f>ROUND(K476*D477,2)</f>
        <v>437.4</v>
      </c>
      <c r="L477" s="3">
        <f>ROUND(L476*D477,2)</f>
        <v>441.72</v>
      </c>
      <c r="M477" s="11"/>
      <c r="N477" s="11"/>
      <c r="O477" s="425">
        <f>ROUND((K477+L477)/2,2)</f>
        <v>439.56</v>
      </c>
    </row>
    <row r="478" spans="1:15" ht="12.75">
      <c r="A478" s="169"/>
      <c r="B478" s="11"/>
      <c r="C478" s="11"/>
      <c r="D478" s="171">
        <v>0.15</v>
      </c>
      <c r="E478" s="11" t="s">
        <v>10</v>
      </c>
      <c r="F478" s="11"/>
      <c r="G478" s="375"/>
      <c r="H478" s="11"/>
      <c r="I478" s="11"/>
      <c r="J478" s="11"/>
      <c r="K478" s="3">
        <f>ROUND(K476*D478,2)</f>
        <v>656.1</v>
      </c>
      <c r="L478" s="3">
        <f>ROUND(L476*D478,2)</f>
        <v>662.58</v>
      </c>
      <c r="M478" s="11"/>
      <c r="N478" s="11"/>
      <c r="O478" s="425">
        <f>ROUND((K478+L478)/2,2)</f>
        <v>659.34</v>
      </c>
    </row>
    <row r="479" spans="1:15" ht="12.75">
      <c r="A479" s="84"/>
      <c r="B479" s="11"/>
      <c r="C479" s="235"/>
      <c r="D479" s="524"/>
      <c r="E479" s="235"/>
      <c r="F479" s="235"/>
      <c r="G479" s="526"/>
      <c r="H479" s="235"/>
      <c r="I479" s="235"/>
      <c r="J479" s="235"/>
      <c r="K479" s="360"/>
      <c r="L479" s="360"/>
      <c r="O479" s="525"/>
    </row>
    <row r="480" spans="1:15" ht="12.75">
      <c r="A480" s="169"/>
      <c r="B480" s="11"/>
      <c r="C480" s="11" t="s">
        <v>490</v>
      </c>
      <c r="D480" s="171"/>
      <c r="E480" s="11"/>
      <c r="F480" s="11"/>
      <c r="G480" s="375"/>
      <c r="H480" s="11"/>
      <c r="I480" s="11"/>
      <c r="J480" s="11"/>
      <c r="L480" s="3"/>
      <c r="M480" s="11"/>
      <c r="N480" s="11"/>
      <c r="O480" s="425"/>
    </row>
    <row r="481" spans="1:15" ht="12.75">
      <c r="A481" s="169"/>
      <c r="B481" s="11"/>
      <c r="C481" s="11" t="s">
        <v>363</v>
      </c>
      <c r="D481" s="171"/>
      <c r="E481" s="11"/>
      <c r="F481" s="11"/>
      <c r="G481" s="375"/>
      <c r="H481" s="11"/>
      <c r="I481" s="11"/>
      <c r="J481" s="11"/>
      <c r="L481" s="3"/>
      <c r="M481" s="11"/>
      <c r="N481" s="11"/>
      <c r="O481" s="425"/>
    </row>
    <row r="482" spans="1:15" ht="12.75">
      <c r="A482" s="169"/>
      <c r="B482" s="11"/>
      <c r="C482" s="11" t="s">
        <v>491</v>
      </c>
      <c r="D482" s="11">
        <v>200</v>
      </c>
      <c r="E482" s="11" t="s">
        <v>45</v>
      </c>
      <c r="F482" s="11" t="s">
        <v>252</v>
      </c>
      <c r="G482" s="170">
        <v>24.3</v>
      </c>
      <c r="H482" s="11" t="s">
        <v>112</v>
      </c>
      <c r="I482" s="11">
        <v>24.54</v>
      </c>
      <c r="J482" s="11"/>
      <c r="K482" s="3">
        <f>ROUND(G482*D482,2)</f>
        <v>4860</v>
      </c>
      <c r="L482" s="3">
        <f>ROUND(D482*I482,2)</f>
        <v>4908</v>
      </c>
      <c r="M482" s="11"/>
      <c r="N482" s="11"/>
      <c r="O482" s="425">
        <f>ROUND((K482+L482)/2,2)</f>
        <v>4884</v>
      </c>
    </row>
    <row r="483" spans="1:15" ht="12.75">
      <c r="A483" s="169"/>
      <c r="B483" s="11"/>
      <c r="C483" s="11" t="s">
        <v>8</v>
      </c>
      <c r="D483" s="171">
        <v>0.1</v>
      </c>
      <c r="E483" s="11" t="s">
        <v>9</v>
      </c>
      <c r="F483" s="11"/>
      <c r="G483" s="375"/>
      <c r="H483" s="11"/>
      <c r="I483" s="11"/>
      <c r="J483" s="11"/>
      <c r="K483" s="3">
        <f>ROUND(K482*D483,2)</f>
        <v>486</v>
      </c>
      <c r="L483" s="3">
        <f>ROUND(L482*D483,2)</f>
        <v>490.8</v>
      </c>
      <c r="M483" s="11"/>
      <c r="N483" s="11"/>
      <c r="O483" s="425">
        <f>ROUND((K483+L483)/2,2)</f>
        <v>488.4</v>
      </c>
    </row>
    <row r="484" spans="1:15" ht="12.75">
      <c r="A484" s="169"/>
      <c r="B484" s="11"/>
      <c r="C484" s="11"/>
      <c r="D484" s="171">
        <v>0.15</v>
      </c>
      <c r="E484" s="11" t="s">
        <v>10</v>
      </c>
      <c r="F484" s="11"/>
      <c r="G484" s="375"/>
      <c r="H484" s="11"/>
      <c r="I484" s="11"/>
      <c r="J484" s="11"/>
      <c r="K484" s="3">
        <f>ROUND(K482*D484,2)</f>
        <v>729</v>
      </c>
      <c r="L484" s="3">
        <f>ROUND(L482*D484,2)</f>
        <v>736.2</v>
      </c>
      <c r="M484" s="11"/>
      <c r="N484" s="11"/>
      <c r="O484" s="425">
        <f>ROUND((K484+L484)/2,2)</f>
        <v>732.6</v>
      </c>
    </row>
    <row r="485" spans="1:15" ht="12.75">
      <c r="A485" s="169"/>
      <c r="B485" s="11"/>
      <c r="C485" s="11"/>
      <c r="D485" s="171"/>
      <c r="E485" s="11"/>
      <c r="F485" s="11"/>
      <c r="G485" s="375"/>
      <c r="H485" s="11"/>
      <c r="I485" s="11"/>
      <c r="J485" s="11"/>
      <c r="L485" s="3"/>
      <c r="M485" s="11"/>
      <c r="N485" s="11"/>
      <c r="O485" s="425"/>
    </row>
    <row r="486" spans="1:15" ht="12.75">
      <c r="A486" s="169" t="s">
        <v>398</v>
      </c>
      <c r="B486" s="11"/>
      <c r="C486" s="11" t="s">
        <v>16</v>
      </c>
      <c r="D486" s="11"/>
      <c r="E486" s="11"/>
      <c r="F486" s="11"/>
      <c r="G486" s="170"/>
      <c r="H486" s="11"/>
      <c r="I486" s="11"/>
      <c r="J486" s="11"/>
      <c r="L486" s="213"/>
      <c r="M486" s="11"/>
      <c r="N486" s="11"/>
      <c r="O486" s="522"/>
    </row>
    <row r="487" spans="1:15" ht="12.75">
      <c r="A487" s="169"/>
      <c r="B487" s="11"/>
      <c r="C487" s="11" t="s">
        <v>336</v>
      </c>
      <c r="D487" s="11"/>
      <c r="E487" s="11"/>
      <c r="F487" s="11"/>
      <c r="G487" s="216">
        <v>38720.89</v>
      </c>
      <c r="H487" s="11" t="s">
        <v>193</v>
      </c>
      <c r="I487" s="213">
        <v>39108.1</v>
      </c>
      <c r="J487" s="11"/>
      <c r="L487" s="213"/>
      <c r="M487" s="11"/>
      <c r="N487" s="11"/>
      <c r="O487" s="522"/>
    </row>
    <row r="488" spans="1:15" ht="12.75">
      <c r="A488" s="169"/>
      <c r="B488" s="11"/>
      <c r="C488" s="11" t="s">
        <v>6</v>
      </c>
      <c r="D488" s="171">
        <v>0.12</v>
      </c>
      <c r="E488" s="11" t="s">
        <v>14</v>
      </c>
      <c r="F488" s="11"/>
      <c r="G488" s="170"/>
      <c r="H488" s="11"/>
      <c r="I488" s="11"/>
      <c r="J488" s="11"/>
      <c r="K488" s="3">
        <f>ROUND(G487*D488,2)</f>
        <v>4646.51</v>
      </c>
      <c r="L488" s="3">
        <f>ROUND(I487*D488,2)</f>
        <v>4692.97</v>
      </c>
      <c r="M488" s="11"/>
      <c r="N488" s="11"/>
      <c r="O488" s="425">
        <f>ROUND((K488+L488)/2,2)</f>
        <v>4669.74</v>
      </c>
    </row>
    <row r="489" spans="1:15" ht="12.75">
      <c r="A489" s="169"/>
      <c r="B489" s="11"/>
      <c r="C489" s="11" t="s">
        <v>8</v>
      </c>
      <c r="D489" s="171">
        <v>0.1</v>
      </c>
      <c r="E489" s="11" t="s">
        <v>9</v>
      </c>
      <c r="F489" s="11"/>
      <c r="G489" s="375"/>
      <c r="H489" s="11"/>
      <c r="I489" s="11"/>
      <c r="J489" s="11"/>
      <c r="K489" s="3">
        <f>ROUND(K488*D489,2)</f>
        <v>464.65</v>
      </c>
      <c r="L489" s="3">
        <f>ROUND(L488*D489,2)</f>
        <v>469.3</v>
      </c>
      <c r="M489" s="11"/>
      <c r="N489" s="11"/>
      <c r="O489" s="425">
        <f>ROUND((K489+L489)/2,2)</f>
        <v>466.98</v>
      </c>
    </row>
    <row r="490" spans="1:15" ht="12.75">
      <c r="A490" s="169"/>
      <c r="B490" s="11"/>
      <c r="C490" s="11"/>
      <c r="D490" s="171">
        <v>0.2</v>
      </c>
      <c r="E490" s="11" t="s">
        <v>10</v>
      </c>
      <c r="F490" s="11"/>
      <c r="G490" s="375"/>
      <c r="H490" s="11"/>
      <c r="I490" s="11"/>
      <c r="J490" s="11"/>
      <c r="K490" s="3">
        <f>ROUND(K488*D490,2)</f>
        <v>929.3</v>
      </c>
      <c r="L490" s="3">
        <f>ROUND(L488*D490,2)</f>
        <v>938.59</v>
      </c>
      <c r="M490" s="11"/>
      <c r="N490" s="11"/>
      <c r="O490" s="425">
        <f>ROUND((K490+L490)/2,2)</f>
        <v>933.95</v>
      </c>
    </row>
    <row r="491" spans="1:15" ht="12.75">
      <c r="A491" s="169"/>
      <c r="B491" s="11"/>
      <c r="C491" s="11"/>
      <c r="D491" s="171"/>
      <c r="E491" s="11"/>
      <c r="F491" s="11"/>
      <c r="G491" s="375"/>
      <c r="H491" s="11"/>
      <c r="I491" s="11"/>
      <c r="J491" s="11"/>
      <c r="L491" s="3"/>
      <c r="M491" s="11"/>
      <c r="N491" s="11"/>
      <c r="O491" s="425"/>
    </row>
    <row r="492" spans="1:15" ht="12.75">
      <c r="A492" s="84"/>
      <c r="B492" s="11"/>
      <c r="C492" s="11" t="s">
        <v>11</v>
      </c>
      <c r="D492" s="171"/>
      <c r="E492" s="172" t="s">
        <v>12</v>
      </c>
      <c r="F492" s="11"/>
      <c r="G492" s="581" t="s">
        <v>112</v>
      </c>
      <c r="H492" s="11"/>
      <c r="I492" s="11"/>
      <c r="J492" s="11"/>
      <c r="L492" s="3"/>
      <c r="M492" s="11"/>
      <c r="N492" s="11"/>
      <c r="O492" s="425"/>
    </row>
    <row r="493" spans="1:15" ht="12.75">
      <c r="A493" s="84"/>
      <c r="B493" s="11"/>
      <c r="C493" s="11" t="s">
        <v>492</v>
      </c>
      <c r="D493" s="11"/>
      <c r="E493" s="173">
        <v>50</v>
      </c>
      <c r="F493" s="11"/>
      <c r="G493" s="170">
        <v>6.22</v>
      </c>
      <c r="H493" s="11" t="s">
        <v>112</v>
      </c>
      <c r="I493" s="11"/>
      <c r="J493" s="11"/>
      <c r="K493" s="3">
        <f>ROUND(G493*E493,2)</f>
        <v>311</v>
      </c>
      <c r="L493" s="580">
        <f>ROUND(E493*G493,2)</f>
        <v>311</v>
      </c>
      <c r="M493" s="11"/>
      <c r="N493" s="11"/>
      <c r="O493" s="425">
        <f>ROUND((K493+L493)/2,2)</f>
        <v>311</v>
      </c>
    </row>
    <row r="494" spans="1:15" ht="12.75">
      <c r="A494" s="84"/>
      <c r="B494" s="11"/>
      <c r="C494" s="11" t="s">
        <v>493</v>
      </c>
      <c r="D494" s="11" t="s">
        <v>494</v>
      </c>
      <c r="E494" s="173">
        <v>100</v>
      </c>
      <c r="F494" s="11"/>
      <c r="G494" s="170">
        <v>5.11</v>
      </c>
      <c r="H494" s="11" t="s">
        <v>112</v>
      </c>
      <c r="I494" s="11"/>
      <c r="J494" s="11"/>
      <c r="K494" s="3">
        <f>ROUND(G494*E494,2)</f>
        <v>511</v>
      </c>
      <c r="L494" s="580">
        <f>ROUND(E494*G494,2)</f>
        <v>511</v>
      </c>
      <c r="M494" s="11"/>
      <c r="N494" s="11"/>
      <c r="O494" s="425">
        <f>ROUND((K494+L494)/2,2)</f>
        <v>511</v>
      </c>
    </row>
    <row r="495" spans="1:16" ht="12.75">
      <c r="A495" s="84"/>
      <c r="B495" s="11"/>
      <c r="C495" s="11"/>
      <c r="D495" s="171"/>
      <c r="E495" s="11"/>
      <c r="F495" s="11"/>
      <c r="G495" s="375"/>
      <c r="H495" s="11"/>
      <c r="I495" s="11"/>
      <c r="J495" s="11"/>
      <c r="L495" s="213"/>
      <c r="M495" s="11"/>
      <c r="N495" s="11"/>
      <c r="O495" s="522"/>
      <c r="P495" s="236"/>
    </row>
    <row r="496" spans="1:15" ht="12.75">
      <c r="A496" s="84" t="s">
        <v>402</v>
      </c>
      <c r="B496" s="11"/>
      <c r="C496" s="11" t="s">
        <v>184</v>
      </c>
      <c r="D496" s="11"/>
      <c r="E496" s="11"/>
      <c r="F496" s="11"/>
      <c r="G496" s="11"/>
      <c r="H496" s="11"/>
      <c r="I496" s="155" t="s">
        <v>191</v>
      </c>
      <c r="J496" s="11"/>
      <c r="K496" s="159">
        <v>4699.37</v>
      </c>
      <c r="L496" s="570">
        <v>4742.72</v>
      </c>
      <c r="M496" s="168"/>
      <c r="N496" s="168"/>
      <c r="O496" s="556">
        <f>ROUND((K496+L496)/2,2)</f>
        <v>4721.05</v>
      </c>
    </row>
    <row r="497" spans="1:15" ht="12.75">
      <c r="A497" s="169"/>
      <c r="B497" s="11"/>
      <c r="C497" s="14" t="s">
        <v>192</v>
      </c>
      <c r="D497" s="11"/>
      <c r="E497" s="11"/>
      <c r="F497" s="11"/>
      <c r="G497" s="11"/>
      <c r="H497" s="11"/>
      <c r="I497" s="11"/>
      <c r="J497" s="11"/>
      <c r="L497" s="11"/>
      <c r="M497" s="11"/>
      <c r="N497" s="11"/>
      <c r="O497" s="522"/>
    </row>
    <row r="498" spans="1:15" ht="12.75">
      <c r="A498" s="169"/>
      <c r="B498" s="11"/>
      <c r="C498" s="11"/>
      <c r="D498" s="11"/>
      <c r="E498" s="11"/>
      <c r="F498" s="11"/>
      <c r="G498" s="170"/>
      <c r="H498" s="11"/>
      <c r="I498" s="11"/>
      <c r="J498" s="11"/>
      <c r="L498" s="11"/>
      <c r="M498" s="11"/>
      <c r="N498" s="11"/>
      <c r="O498" s="522"/>
    </row>
    <row r="499" spans="1:15" ht="12.75">
      <c r="A499" s="169" t="s">
        <v>216</v>
      </c>
      <c r="B499" s="11"/>
      <c r="C499" s="8" t="s">
        <v>50</v>
      </c>
      <c r="D499" s="11"/>
      <c r="E499" s="11"/>
      <c r="F499" s="11"/>
      <c r="G499" s="11"/>
      <c r="H499" s="11"/>
      <c r="I499" s="155" t="s">
        <v>264</v>
      </c>
      <c r="J499" s="11"/>
      <c r="K499" s="3">
        <v>3869.99</v>
      </c>
      <c r="L499" s="213">
        <v>3869.99</v>
      </c>
      <c r="M499" s="11"/>
      <c r="N499" s="11"/>
      <c r="O499" s="425">
        <f>ROUND((K499+L499)/2,2)</f>
        <v>3869.99</v>
      </c>
    </row>
    <row r="500" spans="1:15" ht="12.75">
      <c r="A500" s="169"/>
      <c r="B500" s="8" t="s">
        <v>306</v>
      </c>
      <c r="C500" s="14" t="s">
        <v>51</v>
      </c>
      <c r="D500" s="11"/>
      <c r="E500" s="11"/>
      <c r="F500" s="11"/>
      <c r="G500" s="11"/>
      <c r="H500" s="11"/>
      <c r="I500" s="11"/>
      <c r="J500" s="11"/>
      <c r="L500" s="11"/>
      <c r="M500" s="11"/>
      <c r="N500" s="11"/>
      <c r="O500" s="522"/>
    </row>
    <row r="501" spans="1:15" ht="12.75">
      <c r="A501" s="169"/>
      <c r="B501" s="11" t="s">
        <v>337</v>
      </c>
      <c r="C501" s="11"/>
      <c r="D501" s="11"/>
      <c r="E501" s="11"/>
      <c r="F501" s="11"/>
      <c r="G501" s="11"/>
      <c r="H501" s="11"/>
      <c r="I501" s="11"/>
      <c r="J501" s="11"/>
      <c r="L501" s="11"/>
      <c r="M501" s="11"/>
      <c r="N501" s="11"/>
      <c r="O501" s="522"/>
    </row>
    <row r="502" spans="1:15" ht="12.75">
      <c r="A502" s="169" t="s">
        <v>399</v>
      </c>
      <c r="B502" s="11"/>
      <c r="C502" s="8" t="s">
        <v>53</v>
      </c>
      <c r="D502" s="11"/>
      <c r="E502" s="11"/>
      <c r="F502" s="11"/>
      <c r="G502" s="11"/>
      <c r="H502" s="11"/>
      <c r="I502" s="155" t="s">
        <v>264</v>
      </c>
      <c r="J502" s="11"/>
      <c r="K502" s="3">
        <v>1322.84</v>
      </c>
      <c r="L502" s="11">
        <v>1322.84</v>
      </c>
      <c r="M502" s="11"/>
      <c r="N502" s="11"/>
      <c r="O502" s="425">
        <f>ROUND((K502+L502)/2,2)</f>
        <v>1322.84</v>
      </c>
    </row>
    <row r="503" spans="1:15" ht="12.75">
      <c r="A503" s="202"/>
      <c r="B503" s="8" t="s">
        <v>306</v>
      </c>
      <c r="C503" s="14" t="s">
        <v>51</v>
      </c>
      <c r="D503" s="11"/>
      <c r="E503" s="11"/>
      <c r="F503" s="11"/>
      <c r="G503" s="11"/>
      <c r="H503" s="11"/>
      <c r="I503" s="11"/>
      <c r="J503" s="11"/>
      <c r="L503" s="11"/>
      <c r="M503" s="11"/>
      <c r="N503" s="11"/>
      <c r="O503" s="522"/>
    </row>
    <row r="504" spans="1:15" ht="12.75">
      <c r="A504" s="202"/>
      <c r="B504" s="8"/>
      <c r="C504" s="14"/>
      <c r="D504" s="11"/>
      <c r="E504" s="11"/>
      <c r="F504" s="11"/>
      <c r="G504" s="11"/>
      <c r="H504" s="11"/>
      <c r="I504" s="11"/>
      <c r="J504" s="11"/>
      <c r="L504" s="11"/>
      <c r="M504" s="11"/>
      <c r="N504" s="11"/>
      <c r="O504" s="522"/>
    </row>
    <row r="505" spans="1:15" ht="12.75">
      <c r="A505" s="202"/>
      <c r="B505" s="8"/>
      <c r="C505" s="631" t="s">
        <v>513</v>
      </c>
      <c r="D505" s="632"/>
      <c r="E505" s="632"/>
      <c r="F505" s="632"/>
      <c r="G505" s="632"/>
      <c r="H505" s="632"/>
      <c r="I505" s="632"/>
      <c r="J505" s="632"/>
      <c r="K505" s="633"/>
      <c r="L505" s="632"/>
      <c r="M505" s="632"/>
      <c r="N505" s="632"/>
      <c r="O505" s="634"/>
    </row>
    <row r="506" spans="1:15" ht="12.75">
      <c r="A506" s="202"/>
      <c r="B506" s="8"/>
      <c r="C506" s="631" t="s">
        <v>518</v>
      </c>
      <c r="D506" s="632"/>
      <c r="E506" s="632"/>
      <c r="F506" s="632"/>
      <c r="G506" s="632"/>
      <c r="H506" s="632"/>
      <c r="I506" s="632"/>
      <c r="J506" s="632"/>
      <c r="K506" s="633">
        <v>35585.64</v>
      </c>
      <c r="L506" s="635">
        <v>35585.64</v>
      </c>
      <c r="M506" s="632"/>
      <c r="N506" s="632"/>
      <c r="O506" s="636">
        <v>35585.64</v>
      </c>
    </row>
    <row r="507" spans="1:15" ht="12.75">
      <c r="A507" s="202"/>
      <c r="B507" s="11"/>
      <c r="C507" s="14"/>
      <c r="D507" s="11"/>
      <c r="E507" s="11"/>
      <c r="F507" s="11"/>
      <c r="G507" s="11"/>
      <c r="H507" s="11"/>
      <c r="I507" s="11"/>
      <c r="J507" s="11"/>
      <c r="L507" s="11"/>
      <c r="M507" s="11"/>
      <c r="N507" s="11"/>
      <c r="O507" s="522"/>
    </row>
    <row r="508" spans="1:15" ht="12.75">
      <c r="A508" s="202"/>
      <c r="B508" s="11"/>
      <c r="C508" s="584"/>
      <c r="D508" s="366"/>
      <c r="E508" s="366"/>
      <c r="F508" s="437"/>
      <c r="G508" s="437"/>
      <c r="H508" s="437"/>
      <c r="I508" s="437"/>
      <c r="J508" s="437"/>
      <c r="K508" s="374"/>
      <c r="L508" s="585"/>
      <c r="M508" s="437"/>
      <c r="N508" s="437"/>
      <c r="O508" s="425"/>
    </row>
    <row r="509" spans="1:15" ht="12.75">
      <c r="A509" s="84"/>
      <c r="B509" s="11"/>
      <c r="C509" s="11"/>
      <c r="D509" s="11"/>
      <c r="E509" s="11"/>
      <c r="F509" s="11"/>
      <c r="G509" s="11"/>
      <c r="H509" s="11"/>
      <c r="I509" s="179" t="s">
        <v>18</v>
      </c>
      <c r="J509" s="11"/>
      <c r="K509" s="3">
        <f>SUM(K461:K508)</f>
        <v>303354.5900000001</v>
      </c>
      <c r="L509" s="3">
        <f>SUM(L461:L508)</f>
        <v>304182.8900000001</v>
      </c>
      <c r="M509" s="11"/>
      <c r="N509" s="11"/>
      <c r="O509" s="414">
        <f>SUM(O461:O508)</f>
        <v>303768.76000000007</v>
      </c>
    </row>
    <row r="510" spans="1:15" s="5" customFormat="1" ht="12.75">
      <c r="A510" s="153" t="s">
        <v>19</v>
      </c>
      <c r="B510" s="11"/>
      <c r="C510" s="8"/>
      <c r="D510" s="8"/>
      <c r="E510" s="8"/>
      <c r="F510" s="8"/>
      <c r="G510" s="8"/>
      <c r="H510" s="8"/>
      <c r="I510" s="8"/>
      <c r="J510" s="8"/>
      <c r="K510" s="3"/>
      <c r="L510" s="8"/>
      <c r="M510" s="8"/>
      <c r="N510" s="8"/>
      <c r="O510" s="177"/>
    </row>
    <row r="511" spans="1:15" ht="12.75">
      <c r="A511" s="84"/>
      <c r="B511" s="8" t="s">
        <v>20</v>
      </c>
      <c r="C511" s="11"/>
      <c r="D511" s="11"/>
      <c r="E511" s="11"/>
      <c r="F511" s="11"/>
      <c r="G511" s="11"/>
      <c r="H511" s="11"/>
      <c r="I511" s="11"/>
      <c r="O511" s="188"/>
    </row>
    <row r="512" spans="1:15" s="5" customFormat="1" ht="12.75">
      <c r="A512" s="84" t="s">
        <v>4</v>
      </c>
      <c r="B512" s="11"/>
      <c r="C512" s="8" t="s">
        <v>21</v>
      </c>
      <c r="D512" s="8"/>
      <c r="E512" s="8"/>
      <c r="F512" s="8"/>
      <c r="G512" s="8"/>
      <c r="H512" s="8"/>
      <c r="I512" s="8"/>
      <c r="K512" s="3"/>
      <c r="O512" s="203"/>
    </row>
    <row r="513" spans="1:15" ht="12.75">
      <c r="A513" s="84"/>
      <c r="B513" s="8" t="s">
        <v>306</v>
      </c>
      <c r="C513" s="11" t="s">
        <v>22</v>
      </c>
      <c r="D513" s="11"/>
      <c r="E513" s="11"/>
      <c r="F513" s="11"/>
      <c r="G513" s="11"/>
      <c r="H513" s="11"/>
      <c r="I513" s="178"/>
      <c r="K513" s="3">
        <v>0</v>
      </c>
      <c r="L513" s="431">
        <v>0</v>
      </c>
      <c r="O513" s="425">
        <f>ROUND((K513+L513)/2,2)</f>
        <v>0</v>
      </c>
    </row>
    <row r="514" spans="1:15" ht="12.75">
      <c r="A514" s="84"/>
      <c r="B514" s="11" t="s">
        <v>329</v>
      </c>
      <c r="O514" s="188"/>
    </row>
    <row r="515" spans="1:15" ht="12.75">
      <c r="A515" s="84"/>
      <c r="O515" s="188"/>
    </row>
    <row r="516" spans="1:15" ht="12.75">
      <c r="A516" s="84"/>
      <c r="C516" s="168" t="s">
        <v>406</v>
      </c>
      <c r="D516" s="168"/>
      <c r="E516" s="168"/>
      <c r="F516" s="168"/>
      <c r="G516" s="168"/>
      <c r="H516" s="183"/>
      <c r="I516" s="216"/>
      <c r="J516" s="92"/>
      <c r="K516" s="159">
        <f>K509-K513</f>
        <v>303354.5900000001</v>
      </c>
      <c r="L516" s="159">
        <f>L509-L513</f>
        <v>304182.8900000001</v>
      </c>
      <c r="O516" s="399">
        <f>O509-O513</f>
        <v>303768.76000000007</v>
      </c>
    </row>
    <row r="517" spans="1:15" ht="13.5" thickBot="1">
      <c r="A517" s="498"/>
      <c r="B517" s="418"/>
      <c r="C517" s="499"/>
      <c r="D517" s="499"/>
      <c r="E517" s="499"/>
      <c r="F517" s="499"/>
      <c r="G517" s="499"/>
      <c r="H517" s="500"/>
      <c r="I517" s="501"/>
      <c r="J517" s="502"/>
      <c r="K517" s="503"/>
      <c r="L517" s="503"/>
      <c r="M517" s="418"/>
      <c r="N517" s="418"/>
      <c r="O517" s="504"/>
    </row>
    <row r="518" spans="1:15" ht="12.75">
      <c r="A518" s="85"/>
      <c r="B518" s="86"/>
      <c r="C518" s="492"/>
      <c r="D518" s="492"/>
      <c r="E518" s="492"/>
      <c r="F518" s="492"/>
      <c r="G518" s="492"/>
      <c r="H518" s="493"/>
      <c r="I518" s="494"/>
      <c r="J518" s="492"/>
      <c r="K518" s="495"/>
      <c r="L518" s="86"/>
      <c r="M518" s="86"/>
      <c r="N518" s="86"/>
      <c r="O518" s="189"/>
    </row>
    <row r="519" spans="1:15" ht="12.75">
      <c r="A519" s="85"/>
      <c r="B519" s="86"/>
      <c r="C519" s="490"/>
      <c r="D519" s="490"/>
      <c r="E519" s="490"/>
      <c r="F519" s="490"/>
      <c r="G519" s="490"/>
      <c r="H519" s="490"/>
      <c r="I519" s="490"/>
      <c r="J519" s="490"/>
      <c r="K519" s="491"/>
      <c r="L519" s="86"/>
      <c r="M519" s="86"/>
      <c r="N519" s="86"/>
      <c r="O519" s="189"/>
    </row>
    <row r="520" spans="1:15" ht="12.75">
      <c r="A520" s="84"/>
      <c r="B520" s="364"/>
      <c r="C520" s="11" t="s">
        <v>407</v>
      </c>
      <c r="D520" s="11"/>
      <c r="E520" s="11"/>
      <c r="F520" s="11"/>
      <c r="G520" s="11"/>
      <c r="H520" s="11"/>
      <c r="I520" s="218"/>
      <c r="J520" s="2" t="s">
        <v>23</v>
      </c>
      <c r="K520" s="3">
        <f>K516</f>
        <v>303354.5900000001</v>
      </c>
      <c r="L520" s="3">
        <f>L516</f>
        <v>304182.8900000001</v>
      </c>
      <c r="O520" s="414">
        <f>O516</f>
        <v>303768.76000000007</v>
      </c>
    </row>
    <row r="521" spans="1:15" ht="12.75">
      <c r="A521" s="84"/>
      <c r="B521" s="179"/>
      <c r="C521" s="11"/>
      <c r="D521" s="238"/>
      <c r="E521" s="11"/>
      <c r="F521" s="11"/>
      <c r="G521" s="11"/>
      <c r="H521" s="11"/>
      <c r="I521" s="11"/>
      <c r="J521" s="173"/>
      <c r="L521" s="11"/>
      <c r="M521" s="11"/>
      <c r="N521" s="11"/>
      <c r="O521" s="522"/>
    </row>
    <row r="522" spans="1:15" ht="12.75">
      <c r="A522" s="84"/>
      <c r="B522" s="179"/>
      <c r="C522" s="11"/>
      <c r="D522" s="11" t="s">
        <v>26</v>
      </c>
      <c r="E522" s="11"/>
      <c r="F522" s="11"/>
      <c r="G522" s="11"/>
      <c r="H522" s="11"/>
      <c r="I522" s="11"/>
      <c r="J522" s="173" t="s">
        <v>25</v>
      </c>
      <c r="K522" s="9">
        <f>ROUND(K520*0.25,2)</f>
        <v>75838.65</v>
      </c>
      <c r="L522" s="9">
        <f>ROUND(L520*0.25,2)</f>
        <v>76045.72</v>
      </c>
      <c r="M522" s="11"/>
      <c r="N522" s="11"/>
      <c r="O522" s="415">
        <f>ROUND(O520*0.25,2)</f>
        <v>75942.19</v>
      </c>
    </row>
    <row r="523" spans="1:15" ht="12.75">
      <c r="A523" s="84"/>
      <c r="B523" s="179"/>
      <c r="C523" s="11" t="s">
        <v>76</v>
      </c>
      <c r="D523" s="238">
        <v>169674</v>
      </c>
      <c r="E523" s="11" t="s">
        <v>77</v>
      </c>
      <c r="F523" s="11"/>
      <c r="G523" s="11"/>
      <c r="H523" s="11"/>
      <c r="I523" s="11"/>
      <c r="J523" s="173" t="s">
        <v>27</v>
      </c>
      <c r="K523" s="3">
        <f>ROUND(K520-K522,2)</f>
        <v>227515.94</v>
      </c>
      <c r="L523" s="3">
        <f>ROUND(L520-L522,2)</f>
        <v>228137.17</v>
      </c>
      <c r="M523" s="11"/>
      <c r="N523" s="11"/>
      <c r="O523" s="414">
        <f>ROUND(O520-O522,2)</f>
        <v>227826.57</v>
      </c>
    </row>
    <row r="524" spans="1:15" ht="12.75">
      <c r="A524" s="84"/>
      <c r="B524" s="179"/>
      <c r="C524" s="11"/>
      <c r="D524" s="11"/>
      <c r="E524" s="11"/>
      <c r="F524" s="11"/>
      <c r="G524" s="11"/>
      <c r="H524" s="11"/>
      <c r="I524" s="11"/>
      <c r="J524" s="173"/>
      <c r="K524" s="9"/>
      <c r="L524" s="11"/>
      <c r="M524" s="11"/>
      <c r="N524" s="11"/>
      <c r="O524" s="522"/>
    </row>
    <row r="525" spans="1:15" ht="12.75">
      <c r="A525" s="84"/>
      <c r="B525" s="179"/>
      <c r="C525" s="11"/>
      <c r="D525" s="11" t="s">
        <v>296</v>
      </c>
      <c r="E525" s="11"/>
      <c r="F525" s="11"/>
      <c r="G525" s="11"/>
      <c r="H525" s="11"/>
      <c r="I525" s="11"/>
      <c r="J525" s="173" t="s">
        <v>28</v>
      </c>
      <c r="K525" s="3">
        <f>ROUND(K523/D523,2)</f>
        <v>1.34</v>
      </c>
      <c r="L525" s="3">
        <f>ROUND(L523/D523,2)</f>
        <v>1.34</v>
      </c>
      <c r="M525" s="11"/>
      <c r="N525" s="11"/>
      <c r="O525" s="414">
        <f>ROUND(O523/D523,2)</f>
        <v>1.34</v>
      </c>
    </row>
    <row r="526" spans="1:15" ht="12.75">
      <c r="A526" s="84"/>
      <c r="B526" s="179"/>
      <c r="C526" s="11"/>
      <c r="D526" s="11"/>
      <c r="E526" s="11"/>
      <c r="F526" s="11"/>
      <c r="G526" s="11"/>
      <c r="H526" s="11"/>
      <c r="I526" s="11"/>
      <c r="J526" s="11"/>
      <c r="L526" s="11"/>
      <c r="M526" s="11"/>
      <c r="N526" s="11"/>
      <c r="O526" s="522"/>
    </row>
    <row r="527" spans="1:15" ht="12.75">
      <c r="A527" s="84"/>
      <c r="B527" s="179"/>
      <c r="C527" s="11" t="s">
        <v>13</v>
      </c>
      <c r="D527" s="11" t="s">
        <v>24</v>
      </c>
      <c r="E527" s="11"/>
      <c r="F527" s="11"/>
      <c r="G527" s="239">
        <v>142395</v>
      </c>
      <c r="H527" s="11"/>
      <c r="I527" s="11"/>
      <c r="J527" s="173" t="s">
        <v>29</v>
      </c>
      <c r="K527" s="3">
        <f>ROUND(G527*K525,2)</f>
        <v>190809.3</v>
      </c>
      <c r="L527" s="3">
        <f>ROUND(G527*L525,2)</f>
        <v>190809.3</v>
      </c>
      <c r="M527" s="11"/>
      <c r="N527" s="11"/>
      <c r="O527" s="414">
        <f>ROUND(G527*O525,2)</f>
        <v>190809.3</v>
      </c>
    </row>
    <row r="528" spans="1:15" ht="12.75">
      <c r="A528" s="84"/>
      <c r="B528" s="179"/>
      <c r="C528" s="11"/>
      <c r="D528" s="11"/>
      <c r="E528" s="11"/>
      <c r="F528" s="11"/>
      <c r="G528" s="239"/>
      <c r="H528" s="11"/>
      <c r="I528" s="11"/>
      <c r="J528" s="173"/>
      <c r="L528" s="11"/>
      <c r="M528" s="11"/>
      <c r="N528" s="11"/>
      <c r="O528" s="522"/>
    </row>
    <row r="529" spans="1:15" ht="12.75">
      <c r="A529" s="84"/>
      <c r="B529" s="179"/>
      <c r="C529" s="11"/>
      <c r="D529" s="11" t="s">
        <v>31</v>
      </c>
      <c r="E529" s="11"/>
      <c r="F529" s="11"/>
      <c r="G529" s="239">
        <f>D523-G527</f>
        <v>27279</v>
      </c>
      <c r="H529" s="239"/>
      <c r="I529" s="11"/>
      <c r="J529" s="173" t="s">
        <v>30</v>
      </c>
      <c r="K529" s="3">
        <f>ROUND(G529*K525,2)</f>
        <v>36553.86</v>
      </c>
      <c r="L529" s="3">
        <f>ROUND(G529*L525,2)</f>
        <v>36553.86</v>
      </c>
      <c r="M529" s="11"/>
      <c r="N529" s="11"/>
      <c r="O529" s="414">
        <f>ROUND(G529*O525,2)</f>
        <v>36553.86</v>
      </c>
    </row>
    <row r="530" spans="1:15" ht="12.75">
      <c r="A530" s="84"/>
      <c r="B530" s="179"/>
      <c r="C530" s="11"/>
      <c r="D530" s="11" t="s">
        <v>295</v>
      </c>
      <c r="E530" s="11"/>
      <c r="F530" s="11"/>
      <c r="G530" s="11"/>
      <c r="H530" s="8"/>
      <c r="I530" s="11"/>
      <c r="J530" s="11"/>
      <c r="K530" s="173"/>
      <c r="L530" s="3"/>
      <c r="M530" s="11"/>
      <c r="N530" s="11"/>
      <c r="O530" s="522"/>
    </row>
    <row r="531" spans="1:15" ht="12.75">
      <c r="A531" s="84"/>
      <c r="B531" s="179"/>
      <c r="C531" s="11"/>
      <c r="D531" s="11"/>
      <c r="E531" s="11"/>
      <c r="F531" s="11"/>
      <c r="G531" s="239"/>
      <c r="H531" s="11"/>
      <c r="I531" s="11"/>
      <c r="J531" s="173"/>
      <c r="L531" s="11"/>
      <c r="M531" s="11"/>
      <c r="N531" s="11"/>
      <c r="O531" s="522"/>
    </row>
    <row r="532" spans="1:15" ht="12.75">
      <c r="A532" s="84"/>
      <c r="B532" s="179"/>
      <c r="C532" s="11"/>
      <c r="D532" s="11"/>
      <c r="E532" s="11"/>
      <c r="F532" s="11"/>
      <c r="G532" s="239"/>
      <c r="H532" s="11"/>
      <c r="I532" s="11"/>
      <c r="J532" s="173"/>
      <c r="L532" s="11"/>
      <c r="M532" s="11"/>
      <c r="N532" s="11"/>
      <c r="O532" s="522"/>
    </row>
    <row r="533" spans="1:15" ht="12.75">
      <c r="A533" s="84"/>
      <c r="B533" s="179"/>
      <c r="C533" s="11"/>
      <c r="D533" s="11" t="s">
        <v>302</v>
      </c>
      <c r="E533" s="11"/>
      <c r="F533" s="11"/>
      <c r="G533" s="11"/>
      <c r="H533" s="11"/>
      <c r="I533" s="11"/>
      <c r="J533" s="173" t="s">
        <v>32</v>
      </c>
      <c r="K533" s="180">
        <f>K523-K527-K529</f>
        <v>152.7800000000134</v>
      </c>
      <c r="L533" s="180">
        <f>L523-L527-L529</f>
        <v>774.0100000000239</v>
      </c>
      <c r="M533" s="11"/>
      <c r="N533" s="11"/>
      <c r="O533" s="416">
        <f>O523-O527-O529</f>
        <v>463.41000000001804</v>
      </c>
    </row>
    <row r="534" spans="1:15" ht="12.75">
      <c r="A534" s="84"/>
      <c r="B534" s="179"/>
      <c r="C534" s="11"/>
      <c r="D534" s="11"/>
      <c r="E534" s="11"/>
      <c r="F534" s="11"/>
      <c r="G534" s="11"/>
      <c r="H534" s="11"/>
      <c r="I534" s="11"/>
      <c r="J534" s="173"/>
      <c r="K534" s="194"/>
      <c r="L534" s="11"/>
      <c r="M534" s="11"/>
      <c r="N534" s="11"/>
      <c r="O534" s="522"/>
    </row>
    <row r="535" spans="1:15" ht="12.75">
      <c r="A535" s="153" t="s">
        <v>33</v>
      </c>
      <c r="B535" s="179"/>
      <c r="C535" s="11"/>
      <c r="D535" s="11"/>
      <c r="E535" s="11"/>
      <c r="F535" s="11"/>
      <c r="G535" s="11"/>
      <c r="H535" s="11"/>
      <c r="I535" s="11"/>
      <c r="J535" s="11"/>
      <c r="K535" s="6"/>
      <c r="L535" s="11"/>
      <c r="M535" s="11"/>
      <c r="N535" s="11"/>
      <c r="O535" s="522"/>
    </row>
    <row r="536" spans="1:15" ht="12.75">
      <c r="A536" s="84"/>
      <c r="B536" s="8" t="s">
        <v>34</v>
      </c>
      <c r="C536" s="11"/>
      <c r="D536" s="11"/>
      <c r="E536" s="11"/>
      <c r="F536" s="11"/>
      <c r="G536" s="11"/>
      <c r="H536" s="11"/>
      <c r="I536" s="11"/>
      <c r="J536" s="11"/>
      <c r="L536" s="11"/>
      <c r="M536" s="11"/>
      <c r="N536" s="11"/>
      <c r="O536" s="522"/>
    </row>
    <row r="537" spans="1:15" ht="12.75">
      <c r="A537" s="84"/>
      <c r="C537" s="5" t="s">
        <v>35</v>
      </c>
      <c r="O537" s="188"/>
    </row>
    <row r="538" spans="1:15" ht="12.75">
      <c r="A538" s="84"/>
      <c r="B538" s="8" t="s">
        <v>307</v>
      </c>
      <c r="O538" s="188"/>
    </row>
    <row r="539" spans="1:15" ht="12.75">
      <c r="A539" s="169"/>
      <c r="B539" s="1" t="s">
        <v>330</v>
      </c>
      <c r="C539" s="11"/>
      <c r="D539" s="11"/>
      <c r="E539" s="11"/>
      <c r="F539" s="11"/>
      <c r="G539" s="173" t="s">
        <v>36</v>
      </c>
      <c r="H539" s="11"/>
      <c r="I539" s="173" t="s">
        <v>37</v>
      </c>
      <c r="J539" s="11"/>
      <c r="K539" s="10" t="s">
        <v>38</v>
      </c>
      <c r="O539" s="188"/>
    </row>
    <row r="540" spans="1:15" ht="12.75">
      <c r="A540" s="169"/>
      <c r="B540" s="11"/>
      <c r="C540" s="11"/>
      <c r="D540" s="11"/>
      <c r="E540" s="11"/>
      <c r="F540" s="11"/>
      <c r="G540" s="173" t="s">
        <v>39</v>
      </c>
      <c r="H540" s="11"/>
      <c r="I540" s="173"/>
      <c r="J540" s="11"/>
      <c r="K540" s="10" t="s">
        <v>40</v>
      </c>
      <c r="O540" s="188"/>
    </row>
    <row r="541" spans="1:15" ht="12.75">
      <c r="A541" s="175"/>
      <c r="B541" s="176"/>
      <c r="C541" s="176"/>
      <c r="D541" s="176"/>
      <c r="E541" s="176"/>
      <c r="F541" s="176"/>
      <c r="G541" s="181"/>
      <c r="H541" s="176"/>
      <c r="I541" s="181" t="s">
        <v>100</v>
      </c>
      <c r="J541" s="176"/>
      <c r="K541" s="12" t="s">
        <v>111</v>
      </c>
      <c r="O541" s="188"/>
    </row>
    <row r="542" spans="1:15" ht="12.75">
      <c r="A542" s="175"/>
      <c r="B542" s="220"/>
      <c r="C542" s="176"/>
      <c r="D542" s="176"/>
      <c r="E542" s="176"/>
      <c r="F542" s="176"/>
      <c r="G542" s="176"/>
      <c r="H542" s="176"/>
      <c r="I542" s="176"/>
      <c r="J542" s="176"/>
      <c r="K542" s="4"/>
      <c r="L542" s="80"/>
      <c r="M542" s="80"/>
      <c r="N542" s="80"/>
      <c r="O542" s="81"/>
    </row>
    <row r="543" spans="1:15" ht="12.75">
      <c r="A543" s="436"/>
      <c r="B543" s="437" t="s">
        <v>437</v>
      </c>
      <c r="C543" s="437"/>
      <c r="D543" s="437"/>
      <c r="E543" s="437"/>
      <c r="F543" s="437"/>
      <c r="G543" s="586">
        <f>G527</f>
        <v>142395</v>
      </c>
      <c r="H543" s="437"/>
      <c r="I543" s="446">
        <f>K525</f>
        <v>1.34</v>
      </c>
      <c r="J543" s="438" t="s">
        <v>81</v>
      </c>
      <c r="K543" s="374">
        <f>G543*I543</f>
        <v>190809.30000000002</v>
      </c>
      <c r="L543" s="439"/>
      <c r="M543" s="439"/>
      <c r="N543" s="439"/>
      <c r="O543" s="419"/>
    </row>
    <row r="544" spans="1:15" ht="12.75">
      <c r="A544" s="436"/>
      <c r="B544" s="437"/>
      <c r="C544" s="437"/>
      <c r="D544" s="437"/>
      <c r="E544" s="437"/>
      <c r="F544" s="437"/>
      <c r="G544" s="586"/>
      <c r="H544" s="437"/>
      <c r="I544" s="446"/>
      <c r="J544" s="438"/>
      <c r="K544" s="374"/>
      <c r="L544" s="439"/>
      <c r="M544" s="439"/>
      <c r="N544" s="439"/>
      <c r="O544" s="419"/>
    </row>
    <row r="545" spans="1:15" ht="12.75">
      <c r="A545" s="436"/>
      <c r="B545" s="437" t="s">
        <v>438</v>
      </c>
      <c r="C545" s="437"/>
      <c r="D545" s="437"/>
      <c r="E545" s="437"/>
      <c r="F545" s="437"/>
      <c r="G545" s="586">
        <f>G527</f>
        <v>142395</v>
      </c>
      <c r="H545" s="437"/>
      <c r="I545" s="446">
        <f>L525</f>
        <v>1.34</v>
      </c>
      <c r="J545" s="438" t="s">
        <v>81</v>
      </c>
      <c r="K545" s="374">
        <f>G545*I545</f>
        <v>190809.30000000002</v>
      </c>
      <c r="L545" s="439"/>
      <c r="M545" s="439"/>
      <c r="N545" s="439"/>
      <c r="O545" s="419"/>
    </row>
    <row r="546" spans="1:15" ht="12.75">
      <c r="A546" s="182"/>
      <c r="B546" s="168"/>
      <c r="C546" s="168"/>
      <c r="D546" s="168"/>
      <c r="E546" s="168"/>
      <c r="F546" s="168"/>
      <c r="G546" s="575"/>
      <c r="H546" s="168"/>
      <c r="I546" s="184"/>
      <c r="J546" s="183"/>
      <c r="K546" s="159"/>
      <c r="L546" s="92"/>
      <c r="O546" s="190"/>
    </row>
    <row r="547" spans="1:15" ht="13.5" thickBot="1">
      <c r="A547" s="507"/>
      <c r="B547" s="499" t="s">
        <v>439</v>
      </c>
      <c r="C547" s="499"/>
      <c r="D547" s="499"/>
      <c r="E547" s="499"/>
      <c r="F547" s="499"/>
      <c r="G547" s="587">
        <f>G527</f>
        <v>142395</v>
      </c>
      <c r="H547" s="499"/>
      <c r="I547" s="505">
        <f>O525</f>
        <v>1.34</v>
      </c>
      <c r="J547" s="500" t="s">
        <v>81</v>
      </c>
      <c r="K547" s="503">
        <f>G547*I547</f>
        <v>190809.30000000002</v>
      </c>
      <c r="L547" s="502"/>
      <c r="M547" s="418"/>
      <c r="N547" s="418"/>
      <c r="O547" s="506"/>
    </row>
    <row r="548" spans="1:15" ht="12.75">
      <c r="A548" s="175"/>
      <c r="B548" s="365" t="s">
        <v>190</v>
      </c>
      <c r="C548" s="176"/>
      <c r="D548" s="176"/>
      <c r="E548" s="176"/>
      <c r="F548" s="176"/>
      <c r="G548" s="176"/>
      <c r="H548" s="176"/>
      <c r="I548" s="176"/>
      <c r="J548" s="181"/>
      <c r="K548" s="4"/>
      <c r="L548" s="86"/>
      <c r="M548" s="86"/>
      <c r="N548" s="86"/>
      <c r="O548" s="189"/>
    </row>
    <row r="549" spans="1:15" ht="12.75">
      <c r="A549" s="95" t="s">
        <v>287</v>
      </c>
      <c r="B549" s="367" t="s">
        <v>410</v>
      </c>
      <c r="C549" s="93"/>
      <c r="D549" s="93"/>
      <c r="E549" s="93"/>
      <c r="F549" s="93"/>
      <c r="G549" s="509"/>
      <c r="H549" s="93"/>
      <c r="I549" s="93"/>
      <c r="J549" s="267"/>
      <c r="K549" s="510"/>
      <c r="L549" s="432"/>
      <c r="M549" s="80"/>
      <c r="N549" s="80"/>
      <c r="O549" s="442"/>
    </row>
    <row r="550" spans="1:15" ht="12.75">
      <c r="A550" s="160" t="s">
        <v>2</v>
      </c>
      <c r="B550" s="366"/>
      <c r="C550" s="11"/>
      <c r="D550" s="11"/>
      <c r="E550" s="11"/>
      <c r="F550" s="11"/>
      <c r="G550" s="11"/>
      <c r="H550" s="11"/>
      <c r="I550" s="11"/>
      <c r="J550" s="11"/>
      <c r="O550" s="188"/>
    </row>
    <row r="551" spans="1:15" ht="12.75">
      <c r="A551" s="169"/>
      <c r="B551" s="8" t="s">
        <v>3</v>
      </c>
      <c r="C551" s="11"/>
      <c r="D551" s="11"/>
      <c r="E551" s="11"/>
      <c r="F551" s="11"/>
      <c r="G551" s="11"/>
      <c r="H551" s="11"/>
      <c r="I551" s="11"/>
      <c r="J551" s="11"/>
      <c r="O551" s="188"/>
    </row>
    <row r="552" spans="1:15" ht="12.75">
      <c r="A552" s="169" t="s">
        <v>4</v>
      </c>
      <c r="B552" s="11"/>
      <c r="C552" s="8" t="s">
        <v>265</v>
      </c>
      <c r="D552" s="11"/>
      <c r="E552" s="11"/>
      <c r="F552" s="11"/>
      <c r="G552" s="11"/>
      <c r="H552" s="11"/>
      <c r="I552" s="155" t="s">
        <v>251</v>
      </c>
      <c r="J552" s="11"/>
      <c r="K552" s="3">
        <v>7697.23</v>
      </c>
      <c r="L552" s="213">
        <v>7723.8</v>
      </c>
      <c r="M552" s="11">
        <v>7718.67</v>
      </c>
      <c r="N552" s="11"/>
      <c r="O552" s="425">
        <v>7710.51</v>
      </c>
    </row>
    <row r="553" spans="1:15" ht="12.75">
      <c r="A553" s="169"/>
      <c r="B553" s="8" t="s">
        <v>308</v>
      </c>
      <c r="C553" s="8"/>
      <c r="D553" s="11"/>
      <c r="E553" s="11"/>
      <c r="F553" s="11"/>
      <c r="G553" s="11"/>
      <c r="H553" s="11"/>
      <c r="I553" s="155"/>
      <c r="J553" s="11"/>
      <c r="L553" s="11"/>
      <c r="M553" s="11"/>
      <c r="N553" s="11"/>
      <c r="O553" s="522"/>
    </row>
    <row r="554" spans="1:15" ht="12.75">
      <c r="A554" s="169"/>
      <c r="B554" s="8" t="s">
        <v>331</v>
      </c>
      <c r="C554" s="7"/>
      <c r="D554" s="11"/>
      <c r="E554" s="11"/>
      <c r="F554" s="11"/>
      <c r="G554" s="11"/>
      <c r="H554" s="11"/>
      <c r="I554" s="11"/>
      <c r="J554" s="11"/>
      <c r="L554" s="11"/>
      <c r="M554" s="11"/>
      <c r="N554" s="11"/>
      <c r="O554" s="522"/>
    </row>
    <row r="555" spans="1:15" ht="12.75">
      <c r="A555" s="169" t="s">
        <v>43</v>
      </c>
      <c r="B555" s="11"/>
      <c r="C555" s="8" t="s">
        <v>5</v>
      </c>
      <c r="D555" s="217"/>
      <c r="E555" s="11"/>
      <c r="F555" s="11"/>
      <c r="G555" s="13"/>
      <c r="H555" s="11"/>
      <c r="I555" s="11"/>
      <c r="J555" s="11"/>
      <c r="L555" s="11"/>
      <c r="M555" s="11"/>
      <c r="N555" s="11"/>
      <c r="O555" s="522"/>
    </row>
    <row r="556" spans="1:15" ht="12.75">
      <c r="A556" s="169"/>
      <c r="B556" s="8" t="s">
        <v>305</v>
      </c>
      <c r="C556" s="11" t="s">
        <v>16</v>
      </c>
      <c r="D556" s="11"/>
      <c r="E556" s="11"/>
      <c r="F556" s="11"/>
      <c r="G556" s="11"/>
      <c r="H556" s="11"/>
      <c r="I556" s="11"/>
      <c r="J556" s="11"/>
      <c r="L556" s="11"/>
      <c r="M556" s="11"/>
      <c r="N556" s="11"/>
      <c r="O556" s="522"/>
    </row>
    <row r="557" spans="1:15" ht="12.75">
      <c r="A557" s="169"/>
      <c r="B557" s="11" t="s">
        <v>328</v>
      </c>
      <c r="C557" s="11" t="s">
        <v>336</v>
      </c>
      <c r="D557" s="11"/>
      <c r="E557" s="11"/>
      <c r="F557" s="11"/>
      <c r="G557" s="170">
        <v>38720.89</v>
      </c>
      <c r="H557" s="11" t="s">
        <v>193</v>
      </c>
      <c r="I557" s="213">
        <v>39108.1</v>
      </c>
      <c r="J557" s="11"/>
      <c r="L557" s="11"/>
      <c r="M557" s="11"/>
      <c r="N557" s="11"/>
      <c r="O557" s="522"/>
    </row>
    <row r="558" spans="1:15" ht="12.75">
      <c r="A558" s="169"/>
      <c r="B558" s="11"/>
      <c r="C558" s="11" t="s">
        <v>6</v>
      </c>
      <c r="D558" s="171">
        <v>0.005</v>
      </c>
      <c r="E558" s="11" t="s">
        <v>14</v>
      </c>
      <c r="F558" s="11"/>
      <c r="G558" s="11"/>
      <c r="H558" s="11"/>
      <c r="I558" s="11"/>
      <c r="J558" s="11"/>
      <c r="K558" s="3">
        <f>G557*D558</f>
        <v>193.60445</v>
      </c>
      <c r="L558" s="3">
        <f>I557*D558</f>
        <v>195.5405</v>
      </c>
      <c r="M558" s="11"/>
      <c r="N558" s="11"/>
      <c r="O558" s="425">
        <f>ROUND((K558+L558)/2,2)</f>
        <v>194.57</v>
      </c>
    </row>
    <row r="559" spans="1:15" ht="12.75">
      <c r="A559" s="169"/>
      <c r="B559" s="11"/>
      <c r="C559" s="11" t="s">
        <v>8</v>
      </c>
      <c r="D559" s="171">
        <v>0.1</v>
      </c>
      <c r="E559" s="11" t="s">
        <v>9</v>
      </c>
      <c r="F559" s="11"/>
      <c r="G559" s="13"/>
      <c r="H559" s="11"/>
      <c r="I559" s="11"/>
      <c r="J559" s="11"/>
      <c r="K559" s="3">
        <f>K558*D559</f>
        <v>19.360445000000002</v>
      </c>
      <c r="L559" s="3">
        <f>L558*D559</f>
        <v>19.554050000000004</v>
      </c>
      <c r="M559" s="11"/>
      <c r="N559" s="11"/>
      <c r="O559" s="425">
        <f>ROUND((K559+L559)/2,2)</f>
        <v>19.46</v>
      </c>
    </row>
    <row r="560" spans="1:16" ht="12.75">
      <c r="A560" s="169"/>
      <c r="B560" s="11"/>
      <c r="C560" s="11"/>
      <c r="D560" s="171">
        <v>0.2</v>
      </c>
      <c r="E560" s="11" t="s">
        <v>10</v>
      </c>
      <c r="F560" s="11"/>
      <c r="G560" s="13"/>
      <c r="H560" s="11"/>
      <c r="I560" s="11"/>
      <c r="J560" s="11"/>
      <c r="K560" s="3">
        <f>K558*D560</f>
        <v>38.720890000000004</v>
      </c>
      <c r="L560" s="3">
        <f>L558*D560</f>
        <v>39.10810000000001</v>
      </c>
      <c r="M560" s="11"/>
      <c r="N560" s="11"/>
      <c r="O560" s="425">
        <f>ROUND((K560+L560)/2,2)</f>
        <v>38.91</v>
      </c>
      <c r="P560" s="236"/>
    </row>
    <row r="561" spans="1:15" ht="12.75">
      <c r="A561" s="169"/>
      <c r="B561" s="11"/>
      <c r="C561" s="11"/>
      <c r="D561" s="217"/>
      <c r="E561" s="11"/>
      <c r="F561" s="11"/>
      <c r="G561" s="13"/>
      <c r="H561" s="11"/>
      <c r="I561" s="11"/>
      <c r="J561" s="11"/>
      <c r="L561" s="564"/>
      <c r="M561" s="11"/>
      <c r="N561" s="11"/>
      <c r="O561" s="521"/>
    </row>
    <row r="562" spans="1:15" ht="12.75">
      <c r="A562" s="175"/>
      <c r="B562" s="176"/>
      <c r="C562" s="176"/>
      <c r="D562" s="176"/>
      <c r="E562" s="176"/>
      <c r="F562" s="176"/>
      <c r="G562" s="176"/>
      <c r="H562" s="176"/>
      <c r="I562" s="176"/>
      <c r="J562" s="176"/>
      <c r="K562" s="4"/>
      <c r="L562" s="86"/>
      <c r="M562" s="86"/>
      <c r="N562" s="86"/>
      <c r="O562" s="189"/>
    </row>
    <row r="563" spans="1:15" ht="12.75">
      <c r="A563" s="186"/>
      <c r="B563" s="11"/>
      <c r="C563" s="165"/>
      <c r="D563" s="165"/>
      <c r="E563" s="165"/>
      <c r="F563" s="165"/>
      <c r="G563" s="165"/>
      <c r="H563" s="165"/>
      <c r="I563" s="165"/>
      <c r="J563" s="165"/>
      <c r="K563" s="161"/>
      <c r="O563" s="188"/>
    </row>
    <row r="564" spans="1:15" ht="12.75">
      <c r="A564" s="169"/>
      <c r="B564" s="11"/>
      <c r="C564" s="11" t="s">
        <v>408</v>
      </c>
      <c r="D564" s="11"/>
      <c r="E564" s="11"/>
      <c r="F564" s="11"/>
      <c r="G564" s="11"/>
      <c r="H564" s="11"/>
      <c r="I564" s="218"/>
      <c r="J564" s="173"/>
      <c r="K564" s="3">
        <f>SUM(K550:K562)</f>
        <v>7948.915784999999</v>
      </c>
      <c r="L564" s="3">
        <f>SUM(L550:L562)</f>
        <v>7978.00265</v>
      </c>
      <c r="M564" s="11"/>
      <c r="N564" s="11"/>
      <c r="O564" s="425">
        <f>ROUND((K564+L564)/2,2)</f>
        <v>7963.46</v>
      </c>
    </row>
    <row r="565" spans="1:15" ht="12.75">
      <c r="A565" s="169"/>
      <c r="B565" s="11"/>
      <c r="C565" s="11"/>
      <c r="D565" s="11"/>
      <c r="E565" s="11"/>
      <c r="F565" s="11"/>
      <c r="G565" s="11"/>
      <c r="H565" s="11"/>
      <c r="I565" s="11"/>
      <c r="J565" s="173"/>
      <c r="L565" s="11"/>
      <c r="M565" s="11"/>
      <c r="N565" s="11"/>
      <c r="O565" s="522"/>
    </row>
    <row r="566" spans="1:15" ht="12.75">
      <c r="A566" s="169"/>
      <c r="B566" s="11"/>
      <c r="C566" s="11" t="s">
        <v>13</v>
      </c>
      <c r="D566" s="11" t="s">
        <v>95</v>
      </c>
      <c r="E566" s="11"/>
      <c r="F566" s="11"/>
      <c r="G566" s="219"/>
      <c r="H566" s="11"/>
      <c r="I566" s="11"/>
      <c r="J566" s="173"/>
      <c r="K566" s="3">
        <f>K564*G566/156153</f>
        <v>0</v>
      </c>
      <c r="L566" s="3">
        <f>L564*H566/156153</f>
        <v>0</v>
      </c>
      <c r="M566" s="11"/>
      <c r="N566" s="11"/>
      <c r="O566" s="414">
        <f>O564*K566/156153</f>
        <v>0</v>
      </c>
    </row>
    <row r="567" spans="1:15" ht="12.75">
      <c r="A567" s="169"/>
      <c r="B567" s="11"/>
      <c r="C567" s="11"/>
      <c r="D567" s="11"/>
      <c r="E567" s="11"/>
      <c r="F567" s="11"/>
      <c r="G567" s="11"/>
      <c r="H567" s="11"/>
      <c r="I567" s="11"/>
      <c r="J567" s="173"/>
      <c r="K567" s="9"/>
      <c r="L567" s="11"/>
      <c r="M567" s="11"/>
      <c r="N567" s="11"/>
      <c r="O567" s="522"/>
    </row>
    <row r="568" spans="1:15" ht="12.75">
      <c r="A568" s="169"/>
      <c r="B568" s="11"/>
      <c r="C568" s="11"/>
      <c r="D568" s="11" t="s">
        <v>96</v>
      </c>
      <c r="E568" s="11"/>
      <c r="F568" s="11"/>
      <c r="G568" s="11"/>
      <c r="H568" s="11"/>
      <c r="I568" s="11"/>
      <c r="J568" s="173"/>
      <c r="K568" s="3">
        <f>SUM(K564:K564)</f>
        <v>7948.915784999999</v>
      </c>
      <c r="L568" s="3">
        <f>SUM(L564:L564)</f>
        <v>7978.00265</v>
      </c>
      <c r="M568" s="11"/>
      <c r="N568" s="11"/>
      <c r="O568" s="414">
        <f>SUM(O564:O564)</f>
        <v>7963.46</v>
      </c>
    </row>
    <row r="569" spans="1:15" ht="12.75">
      <c r="A569" s="169"/>
      <c r="B569" s="11"/>
      <c r="C569" s="11"/>
      <c r="D569" s="11" t="s">
        <v>3</v>
      </c>
      <c r="E569" s="11"/>
      <c r="F569" s="11"/>
      <c r="G569" s="11"/>
      <c r="H569" s="11"/>
      <c r="I569" s="11"/>
      <c r="J569" s="173"/>
      <c r="K569" s="9"/>
      <c r="L569" s="11"/>
      <c r="M569" s="11"/>
      <c r="N569" s="11"/>
      <c r="O569" s="522"/>
    </row>
    <row r="570" spans="1:15" ht="12.75">
      <c r="A570" s="175"/>
      <c r="B570" s="176"/>
      <c r="C570" s="176"/>
      <c r="D570" s="176"/>
      <c r="E570" s="176"/>
      <c r="F570" s="176"/>
      <c r="G570" s="176"/>
      <c r="H570" s="176"/>
      <c r="I570" s="176"/>
      <c r="J570" s="181"/>
      <c r="K570" s="4"/>
      <c r="L570" s="86"/>
      <c r="M570" s="86"/>
      <c r="N570" s="86"/>
      <c r="O570" s="189"/>
    </row>
    <row r="571" spans="1:15" ht="48.75" customHeight="1">
      <c r="A571" s="220"/>
      <c r="B571" s="220"/>
      <c r="C571" s="220"/>
      <c r="D571" s="220"/>
      <c r="E571" s="220"/>
      <c r="F571" s="220"/>
      <c r="G571" s="220"/>
      <c r="H571" s="220"/>
      <c r="I571" s="220"/>
      <c r="J571" s="221"/>
      <c r="K571" s="154"/>
      <c r="L571" s="80"/>
      <c r="O571" s="189"/>
    </row>
    <row r="572" spans="1:15" ht="12.75">
      <c r="A572" s="169"/>
      <c r="B572" s="11"/>
      <c r="C572" s="11"/>
      <c r="D572" s="11"/>
      <c r="E572" s="11"/>
      <c r="F572" s="11"/>
      <c r="G572" s="11"/>
      <c r="H572" s="11"/>
      <c r="I572" s="11"/>
      <c r="J572" s="173"/>
      <c r="O572" s="188"/>
    </row>
    <row r="573" spans="1:15" ht="12.75">
      <c r="A573" s="95" t="s">
        <v>97</v>
      </c>
      <c r="B573" s="367" t="s">
        <v>98</v>
      </c>
      <c r="C573" s="93"/>
      <c r="D573" s="93"/>
      <c r="E573" s="93"/>
      <c r="F573" s="93"/>
      <c r="G573" s="509"/>
      <c r="H573" s="93"/>
      <c r="I573" s="93"/>
      <c r="J573" s="267"/>
      <c r="K573" s="510"/>
      <c r="L573" s="432"/>
      <c r="M573" s="80"/>
      <c r="N573" s="80"/>
      <c r="O573" s="442"/>
    </row>
    <row r="574" spans="1:15" ht="12.75">
      <c r="A574" s="186"/>
      <c r="B574" s="508"/>
      <c r="C574" s="11"/>
      <c r="D574" s="11"/>
      <c r="E574" s="11"/>
      <c r="F574" s="11"/>
      <c r="G574" s="11"/>
      <c r="H574" s="11"/>
      <c r="I574" s="11"/>
      <c r="J574" s="11"/>
      <c r="O574" s="188"/>
    </row>
    <row r="575" spans="1:15" ht="12.75">
      <c r="A575" s="160" t="s">
        <v>2</v>
      </c>
      <c r="B575" s="11"/>
      <c r="C575" s="11"/>
      <c r="D575" s="11"/>
      <c r="E575" s="11"/>
      <c r="F575" s="11"/>
      <c r="G575" s="11"/>
      <c r="H575" s="11"/>
      <c r="I575" s="11"/>
      <c r="J575" s="11"/>
      <c r="O575" s="188"/>
    </row>
    <row r="576" spans="1:15" ht="12.75">
      <c r="A576" s="169"/>
      <c r="B576" s="8" t="s">
        <v>3</v>
      </c>
      <c r="C576" s="11"/>
      <c r="D576" s="11"/>
      <c r="E576" s="11"/>
      <c r="F576" s="11"/>
      <c r="G576" s="11"/>
      <c r="H576" s="11"/>
      <c r="I576" s="11"/>
      <c r="J576" s="11"/>
      <c r="L576" s="11"/>
      <c r="M576" s="11"/>
      <c r="N576" s="11"/>
      <c r="O576" s="522"/>
    </row>
    <row r="577" spans="1:15" ht="12.75">
      <c r="A577" s="169" t="s">
        <v>4</v>
      </c>
      <c r="B577" s="11"/>
      <c r="C577" s="8" t="s">
        <v>265</v>
      </c>
      <c r="D577" s="11"/>
      <c r="E577" s="11"/>
      <c r="F577" s="11"/>
      <c r="G577" s="11"/>
      <c r="H577" s="11"/>
      <c r="I577" s="155" t="s">
        <v>251</v>
      </c>
      <c r="J577" s="11"/>
      <c r="K577" s="3">
        <v>2261.51</v>
      </c>
      <c r="L577" s="213">
        <v>2269.31</v>
      </c>
      <c r="M577" s="11">
        <v>2267.81</v>
      </c>
      <c r="N577" s="11"/>
      <c r="O577" s="425">
        <v>2265.41</v>
      </c>
    </row>
    <row r="578" spans="1:15" ht="12.75">
      <c r="A578" s="169"/>
      <c r="B578" s="8" t="s">
        <v>308</v>
      </c>
      <c r="C578" s="14" t="s">
        <v>266</v>
      </c>
      <c r="D578" s="11"/>
      <c r="E578" s="11"/>
      <c r="F578" s="11"/>
      <c r="G578" s="11"/>
      <c r="H578" s="11"/>
      <c r="I578" s="11"/>
      <c r="J578" s="11"/>
      <c r="L578" s="213"/>
      <c r="M578" s="11"/>
      <c r="N578" s="11"/>
      <c r="O578" s="522"/>
    </row>
    <row r="579" spans="1:15" ht="12.75">
      <c r="A579" s="169"/>
      <c r="B579" s="11" t="s">
        <v>331</v>
      </c>
      <c r="C579" s="14" t="s">
        <v>267</v>
      </c>
      <c r="D579" s="11"/>
      <c r="E579" s="11"/>
      <c r="F579" s="11"/>
      <c r="G579" s="11"/>
      <c r="H579" s="11"/>
      <c r="I579" s="11"/>
      <c r="J579" s="11"/>
      <c r="L579" s="213"/>
      <c r="M579" s="11"/>
      <c r="N579" s="11"/>
      <c r="O579" s="522"/>
    </row>
    <row r="580" spans="1:15" ht="12.75">
      <c r="A580" s="169"/>
      <c r="B580" s="11"/>
      <c r="C580" s="7"/>
      <c r="D580" s="11"/>
      <c r="E580" s="11"/>
      <c r="F580" s="11"/>
      <c r="G580" s="11"/>
      <c r="H580" s="11"/>
      <c r="I580" s="11"/>
      <c r="J580" s="11"/>
      <c r="L580" s="213"/>
      <c r="M580" s="11"/>
      <c r="N580" s="11"/>
      <c r="O580" s="522"/>
    </row>
    <row r="581" spans="1:15" ht="12.75">
      <c r="A581" s="169" t="s">
        <v>43</v>
      </c>
      <c r="B581" s="11"/>
      <c r="C581" s="8" t="s">
        <v>5</v>
      </c>
      <c r="D581" s="11"/>
      <c r="E581" s="11"/>
      <c r="F581" s="11"/>
      <c r="G581" s="11"/>
      <c r="H581" s="11"/>
      <c r="I581" s="11"/>
      <c r="J581" s="11"/>
      <c r="L581" s="213"/>
      <c r="M581" s="11"/>
      <c r="N581" s="11"/>
      <c r="O581" s="522"/>
    </row>
    <row r="582" spans="1:15" ht="12.75">
      <c r="A582" s="169"/>
      <c r="B582" s="8" t="s">
        <v>305</v>
      </c>
      <c r="C582" s="8"/>
      <c r="D582" s="11"/>
      <c r="E582" s="11"/>
      <c r="F582" s="11"/>
      <c r="G582" s="11"/>
      <c r="H582" s="11"/>
      <c r="I582" s="11"/>
      <c r="J582" s="11"/>
      <c r="L582" s="213"/>
      <c r="M582" s="11"/>
      <c r="N582" s="11"/>
      <c r="O582" s="522"/>
    </row>
    <row r="583" spans="1:15" ht="12.75">
      <c r="A583" s="169"/>
      <c r="B583" s="8" t="s">
        <v>328</v>
      </c>
      <c r="C583" s="11" t="s">
        <v>16</v>
      </c>
      <c r="D583" s="11"/>
      <c r="E583" s="11"/>
      <c r="F583" s="11"/>
      <c r="G583" s="11"/>
      <c r="H583" s="11"/>
      <c r="I583" s="11"/>
      <c r="J583" s="11"/>
      <c r="L583" s="213"/>
      <c r="M583" s="11"/>
      <c r="N583" s="11"/>
      <c r="O583" s="522"/>
    </row>
    <row r="584" spans="1:15" ht="12.75">
      <c r="A584" s="169"/>
      <c r="B584" s="11"/>
      <c r="C584" s="11" t="s">
        <v>336</v>
      </c>
      <c r="D584" s="11"/>
      <c r="E584" s="11"/>
      <c r="F584" s="11"/>
      <c r="G584" s="170">
        <v>38720.89</v>
      </c>
      <c r="H584" s="11" t="s">
        <v>193</v>
      </c>
      <c r="I584" s="213">
        <v>39108.1</v>
      </c>
      <c r="J584" s="11"/>
      <c r="L584" s="213"/>
      <c r="M584" s="11"/>
      <c r="N584" s="11"/>
      <c r="O584" s="522"/>
    </row>
    <row r="585" spans="1:15" ht="12.75">
      <c r="A585" s="169"/>
      <c r="B585" s="11"/>
      <c r="C585" s="11" t="s">
        <v>6</v>
      </c>
      <c r="D585" s="171">
        <v>0.01</v>
      </c>
      <c r="E585" s="11" t="s">
        <v>14</v>
      </c>
      <c r="F585" s="11"/>
      <c r="G585" s="11"/>
      <c r="H585" s="11"/>
      <c r="I585" s="11"/>
      <c r="J585" s="11"/>
      <c r="K585" s="3">
        <f>G584*D585</f>
        <v>387.2089</v>
      </c>
      <c r="L585" s="3">
        <f>I584*D585</f>
        <v>391.081</v>
      </c>
      <c r="M585" s="11"/>
      <c r="N585" s="11"/>
      <c r="O585" s="425">
        <f>ROUND((K585+L585)/2,2)</f>
        <v>389.14</v>
      </c>
    </row>
    <row r="586" spans="1:15" ht="12.75">
      <c r="A586" s="169"/>
      <c r="B586" s="11"/>
      <c r="C586" s="11" t="s">
        <v>8</v>
      </c>
      <c r="D586" s="171">
        <v>0.1</v>
      </c>
      <c r="E586" s="11" t="s">
        <v>9</v>
      </c>
      <c r="F586" s="11"/>
      <c r="G586" s="13"/>
      <c r="H586" s="11"/>
      <c r="I586" s="11"/>
      <c r="J586" s="11"/>
      <c r="K586" s="3">
        <f>K585*D586</f>
        <v>38.720890000000004</v>
      </c>
      <c r="L586" s="3">
        <f>L585*D586</f>
        <v>39.10810000000001</v>
      </c>
      <c r="M586" s="11"/>
      <c r="N586" s="11"/>
      <c r="O586" s="425">
        <f>ROUND((K586+L586)/2,2)</f>
        <v>38.91</v>
      </c>
    </row>
    <row r="587" spans="1:16" ht="12.75">
      <c r="A587" s="169"/>
      <c r="B587" s="11"/>
      <c r="C587" s="11"/>
      <c r="D587" s="171">
        <v>0.2</v>
      </c>
      <c r="E587" s="11" t="s">
        <v>10</v>
      </c>
      <c r="F587" s="11"/>
      <c r="G587" s="13"/>
      <c r="H587" s="11"/>
      <c r="I587" s="11"/>
      <c r="J587" s="11"/>
      <c r="K587" s="3">
        <f>K585*D587</f>
        <v>77.44178000000001</v>
      </c>
      <c r="L587" s="3">
        <f>L585*D587</f>
        <v>78.21620000000001</v>
      </c>
      <c r="M587" s="11"/>
      <c r="N587" s="11"/>
      <c r="O587" s="425">
        <f>ROUND((K587+L587)/2,2)</f>
        <v>77.83</v>
      </c>
      <c r="P587" s="236"/>
    </row>
    <row r="588" spans="1:15" ht="12.75">
      <c r="A588" s="169"/>
      <c r="B588" s="176"/>
      <c r="C588" s="11"/>
      <c r="D588" s="217"/>
      <c r="E588" s="11"/>
      <c r="F588" s="11"/>
      <c r="G588" s="13"/>
      <c r="H588" s="11"/>
      <c r="I588" s="11"/>
      <c r="J588" s="11"/>
      <c r="L588" s="588"/>
      <c r="M588" s="176"/>
      <c r="N588" s="11"/>
      <c r="O588" s="589"/>
    </row>
    <row r="589" spans="1:15" ht="12.75">
      <c r="A589" s="186"/>
      <c r="B589" s="11"/>
      <c r="C589" s="165"/>
      <c r="D589" s="165"/>
      <c r="E589" s="165"/>
      <c r="F589" s="165"/>
      <c r="G589" s="165"/>
      <c r="H589" s="165"/>
      <c r="I589" s="165"/>
      <c r="J589" s="165"/>
      <c r="K589" s="161"/>
      <c r="L589" s="213"/>
      <c r="M589" s="11"/>
      <c r="N589" s="11"/>
      <c r="O589" s="522"/>
    </row>
    <row r="590" spans="1:17" ht="12.75">
      <c r="A590" s="169"/>
      <c r="B590" s="11"/>
      <c r="C590" s="11" t="s">
        <v>409</v>
      </c>
      <c r="D590" s="11"/>
      <c r="E590" s="11"/>
      <c r="F590" s="11"/>
      <c r="G590" s="11"/>
      <c r="H590" s="11"/>
      <c r="I590" s="218"/>
      <c r="J590" s="173"/>
      <c r="K590" s="3">
        <f>SUM(K577:K588)</f>
        <v>2764.8815700000005</v>
      </c>
      <c r="L590" s="3">
        <f>SUM(L577:L588)</f>
        <v>2777.7153</v>
      </c>
      <c r="M590" s="11"/>
      <c r="N590" s="11"/>
      <c r="O590" s="425">
        <f>ROUND((K590+L590)/2,2)</f>
        <v>2771.3</v>
      </c>
      <c r="Q590" s="235"/>
    </row>
    <row r="591" spans="1:15" ht="12.75">
      <c r="A591" s="169"/>
      <c r="B591" s="11"/>
      <c r="C591" s="11"/>
      <c r="D591" s="11"/>
      <c r="E591" s="11"/>
      <c r="F591" s="11"/>
      <c r="G591" s="11"/>
      <c r="H591" s="11"/>
      <c r="I591" s="11"/>
      <c r="J591" s="173"/>
      <c r="L591" s="213"/>
      <c r="M591" s="11"/>
      <c r="N591" s="11"/>
      <c r="O591" s="522"/>
    </row>
    <row r="592" spans="1:15" ht="12.75" customHeight="1">
      <c r="A592" s="169"/>
      <c r="B592" s="11"/>
      <c r="C592" s="11" t="s">
        <v>13</v>
      </c>
      <c r="D592" s="11" t="s">
        <v>99</v>
      </c>
      <c r="E592" s="11"/>
      <c r="F592" s="11"/>
      <c r="G592" s="219"/>
      <c r="H592" s="11"/>
      <c r="I592" s="11"/>
      <c r="J592" s="173"/>
      <c r="K592" s="3">
        <f>K590</f>
        <v>2764.8815700000005</v>
      </c>
      <c r="L592" s="3">
        <f>L590</f>
        <v>2777.7153</v>
      </c>
      <c r="M592" s="11"/>
      <c r="N592" s="11"/>
      <c r="O592" s="414">
        <f>O590</f>
        <v>2771.3</v>
      </c>
    </row>
    <row r="593" spans="1:15" ht="12.75" customHeight="1" thickBot="1">
      <c r="A593" s="511"/>
      <c r="B593" s="417"/>
      <c r="C593" s="417"/>
      <c r="D593" s="417"/>
      <c r="E593" s="417"/>
      <c r="F593" s="417"/>
      <c r="G593" s="512"/>
      <c r="H593" s="417"/>
      <c r="I593" s="417"/>
      <c r="J593" s="513"/>
      <c r="K593" s="514"/>
      <c r="L593" s="418"/>
      <c r="M593" s="418"/>
      <c r="N593" s="418"/>
      <c r="O593" s="515"/>
    </row>
    <row r="594" spans="1:11" ht="15.75" customHeight="1">
      <c r="A594" s="630"/>
      <c r="B594" s="11"/>
      <c r="C594" s="11"/>
      <c r="D594" s="11"/>
      <c r="E594" s="11"/>
      <c r="F594" s="11"/>
      <c r="G594" s="11"/>
      <c r="H594" s="11"/>
      <c r="I594" s="11"/>
      <c r="J594" s="173"/>
      <c r="K594" s="9"/>
    </row>
    <row r="595" spans="1:11" ht="12.75">
      <c r="A595" s="11"/>
      <c r="B595" s="11"/>
      <c r="C595" s="11"/>
      <c r="D595" s="11"/>
      <c r="E595" s="11"/>
      <c r="F595" s="11"/>
      <c r="G595" s="11"/>
      <c r="H595" s="11"/>
      <c r="I595" s="11"/>
      <c r="J595" s="173"/>
      <c r="K595" s="9"/>
    </row>
    <row r="596" spans="1:11" ht="12.75">
      <c r="A596" s="11"/>
      <c r="B596" s="11"/>
      <c r="C596" s="11"/>
      <c r="D596" s="11"/>
      <c r="E596" s="11"/>
      <c r="F596" s="11"/>
      <c r="G596" s="11"/>
      <c r="H596" s="11"/>
      <c r="I596" s="11"/>
      <c r="J596" s="173"/>
      <c r="K596" s="9"/>
    </row>
    <row r="597" spans="1:10" ht="12.75">
      <c r="A597" s="11"/>
      <c r="B597" s="11"/>
      <c r="C597" s="11"/>
      <c r="D597" s="11"/>
      <c r="E597" s="11"/>
      <c r="F597" s="11"/>
      <c r="G597" s="11"/>
      <c r="H597" s="11"/>
      <c r="I597" s="11"/>
      <c r="J597" s="11"/>
    </row>
    <row r="598" spans="1:10" ht="12.75">
      <c r="A598" s="11"/>
      <c r="B598" s="11"/>
      <c r="C598" s="11"/>
      <c r="D598" s="11"/>
      <c r="E598" s="11"/>
      <c r="F598" s="11"/>
      <c r="G598" s="11"/>
      <c r="H598" s="11"/>
      <c r="I598" s="11"/>
      <c r="J598" s="11"/>
    </row>
    <row r="599" spans="1:10" ht="12.75">
      <c r="A599" s="11"/>
      <c r="B599" s="11"/>
      <c r="C599" s="11"/>
      <c r="D599" s="11"/>
      <c r="E599" s="11"/>
      <c r="F599" s="11"/>
      <c r="G599" s="11"/>
      <c r="H599" s="11"/>
      <c r="I599" s="11"/>
      <c r="J599" s="11"/>
    </row>
    <row r="600" spans="1:10" ht="12.75">
      <c r="A600" s="11"/>
      <c r="B600" s="11"/>
      <c r="C600" s="11"/>
      <c r="D600" s="11"/>
      <c r="E600" s="11"/>
      <c r="F600" s="11"/>
      <c r="G600" s="11"/>
      <c r="H600" s="11"/>
      <c r="I600" s="11"/>
      <c r="J600" s="11"/>
    </row>
    <row r="601" spans="1:10" ht="12.75">
      <c r="A601" s="11"/>
      <c r="B601" s="11"/>
      <c r="C601" s="11"/>
      <c r="D601" s="11"/>
      <c r="E601" s="11"/>
      <c r="F601" s="11"/>
      <c r="G601" s="11"/>
      <c r="H601" s="11"/>
      <c r="I601" s="11"/>
      <c r="J601" s="11"/>
    </row>
    <row r="602" spans="1:10" ht="12.75">
      <c r="A602" s="11"/>
      <c r="B602" s="11"/>
      <c r="C602" s="11"/>
      <c r="D602" s="11"/>
      <c r="E602" s="11"/>
      <c r="F602" s="11"/>
      <c r="G602" s="11"/>
      <c r="H602" s="11"/>
      <c r="I602" s="11"/>
      <c r="J602" s="11"/>
    </row>
    <row r="603" spans="1:10" ht="12.75">
      <c r="A603" s="11"/>
      <c r="B603" s="11"/>
      <c r="C603" s="11"/>
      <c r="D603" s="11"/>
      <c r="E603" s="11"/>
      <c r="F603" s="11"/>
      <c r="G603" s="11"/>
      <c r="H603" s="11"/>
      <c r="I603" s="11"/>
      <c r="J603" s="11"/>
    </row>
    <row r="604" spans="1:10" ht="12.75">
      <c r="A604" s="11"/>
      <c r="B604" s="11"/>
      <c r="C604" s="11"/>
      <c r="D604" s="11"/>
      <c r="E604" s="11"/>
      <c r="F604" s="11"/>
      <c r="G604" s="11"/>
      <c r="H604" s="11"/>
      <c r="I604" s="11"/>
      <c r="J604" s="11"/>
    </row>
    <row r="605" spans="1:10" ht="12.75">
      <c r="A605" s="11"/>
      <c r="B605" s="11"/>
      <c r="C605" s="11"/>
      <c r="D605" s="11"/>
      <c r="E605" s="11"/>
      <c r="F605" s="11"/>
      <c r="G605" s="11"/>
      <c r="H605" s="11"/>
      <c r="I605" s="11"/>
      <c r="J605" s="11"/>
    </row>
    <row r="606" spans="1:10" ht="12.75">
      <c r="A606" s="11"/>
      <c r="B606" s="11"/>
      <c r="C606" s="11"/>
      <c r="D606" s="11"/>
      <c r="E606" s="11"/>
      <c r="F606" s="11"/>
      <c r="G606" s="11"/>
      <c r="H606" s="11"/>
      <c r="I606" s="11"/>
      <c r="J606" s="11"/>
    </row>
    <row r="607" spans="1:10" ht="12.75">
      <c r="A607" s="11"/>
      <c r="B607" s="11"/>
      <c r="C607" s="11"/>
      <c r="D607" s="11"/>
      <c r="E607" s="11"/>
      <c r="F607" s="11"/>
      <c r="G607" s="11"/>
      <c r="H607" s="11"/>
      <c r="I607" s="11"/>
      <c r="J607" s="11"/>
    </row>
    <row r="608" spans="1:10" ht="12.75">
      <c r="A608" s="11"/>
      <c r="B608" s="11"/>
      <c r="C608" s="11"/>
      <c r="D608" s="11"/>
      <c r="E608" s="11"/>
      <c r="F608" s="11"/>
      <c r="G608" s="11"/>
      <c r="H608" s="11"/>
      <c r="I608" s="11"/>
      <c r="J608" s="11"/>
    </row>
    <row r="609" spans="1:10" ht="12.75">
      <c r="A609" s="11"/>
      <c r="B609" s="11"/>
      <c r="C609" s="11"/>
      <c r="D609" s="11"/>
      <c r="E609" s="11"/>
      <c r="F609" s="11"/>
      <c r="G609" s="11"/>
      <c r="H609" s="11"/>
      <c r="I609" s="11"/>
      <c r="J609" s="11"/>
    </row>
    <row r="610" spans="1:10" ht="12.75">
      <c r="A610" s="11"/>
      <c r="B610" s="11"/>
      <c r="C610" s="11"/>
      <c r="D610" s="11"/>
      <c r="E610" s="11"/>
      <c r="F610" s="11"/>
      <c r="G610" s="11"/>
      <c r="H610" s="11"/>
      <c r="I610" s="11"/>
      <c r="J610" s="11"/>
    </row>
    <row r="611" spans="1:10" ht="12.75">
      <c r="A611" s="11"/>
      <c r="B611" s="11"/>
      <c r="C611" s="11"/>
      <c r="D611" s="11"/>
      <c r="E611" s="11"/>
      <c r="F611" s="11"/>
      <c r="G611" s="11"/>
      <c r="H611" s="11"/>
      <c r="I611" s="11"/>
      <c r="J611" s="11"/>
    </row>
    <row r="612" spans="1:10" ht="12.75">
      <c r="A612" s="11"/>
      <c r="B612" s="11"/>
      <c r="C612" s="11"/>
      <c r="D612" s="11"/>
      <c r="E612" s="11"/>
      <c r="F612" s="11"/>
      <c r="G612" s="11"/>
      <c r="H612" s="11"/>
      <c r="I612" s="11"/>
      <c r="J612" s="11"/>
    </row>
    <row r="613" spans="1:10" ht="12.75">
      <c r="A613" s="11"/>
      <c r="B613" s="11"/>
      <c r="C613" s="11"/>
      <c r="D613" s="11"/>
      <c r="E613" s="11"/>
      <c r="F613" s="11"/>
      <c r="G613" s="11"/>
      <c r="H613" s="11"/>
      <c r="I613" s="11"/>
      <c r="J613" s="11"/>
    </row>
    <row r="614" spans="1:10" ht="12.75">
      <c r="A614" s="11"/>
      <c r="B614" s="11"/>
      <c r="C614" s="11"/>
      <c r="D614" s="11"/>
      <c r="E614" s="11"/>
      <c r="F614" s="11"/>
      <c r="G614" s="11"/>
      <c r="H614" s="11"/>
      <c r="I614" s="11"/>
      <c r="J614" s="11"/>
    </row>
    <row r="615" spans="1:10" ht="12.75">
      <c r="A615" s="11"/>
      <c r="B615" s="11"/>
      <c r="C615" s="11"/>
      <c r="D615" s="11"/>
      <c r="E615" s="11"/>
      <c r="F615" s="11"/>
      <c r="G615" s="11"/>
      <c r="H615" s="11"/>
      <c r="I615" s="11"/>
      <c r="J615" s="11"/>
    </row>
    <row r="616" spans="1:10" ht="12.75">
      <c r="A616" s="11"/>
      <c r="B616" s="11"/>
      <c r="C616" s="11"/>
      <c r="D616" s="11"/>
      <c r="E616" s="11"/>
      <c r="F616" s="11"/>
      <c r="G616" s="11"/>
      <c r="H616" s="11"/>
      <c r="I616" s="11"/>
      <c r="J616" s="11"/>
    </row>
    <row r="617" spans="1:10" ht="12.75">
      <c r="A617" s="11"/>
      <c r="B617" s="11"/>
      <c r="C617" s="11"/>
      <c r="D617" s="11"/>
      <c r="E617" s="11"/>
      <c r="F617" s="11"/>
      <c r="G617" s="11"/>
      <c r="H617" s="11"/>
      <c r="I617" s="11"/>
      <c r="J617" s="11"/>
    </row>
    <row r="618" spans="1:10" ht="12.75">
      <c r="A618" s="11"/>
      <c r="B618" s="11"/>
      <c r="C618" s="11"/>
      <c r="D618" s="11"/>
      <c r="E618" s="11"/>
      <c r="F618" s="11"/>
      <c r="G618" s="11"/>
      <c r="H618" s="11"/>
      <c r="I618" s="11"/>
      <c r="J618" s="11"/>
    </row>
    <row r="619" spans="1:10" ht="12.75">
      <c r="A619" s="11"/>
      <c r="B619" s="11"/>
      <c r="C619" s="11"/>
      <c r="D619" s="11"/>
      <c r="E619" s="11"/>
      <c r="F619" s="11"/>
      <c r="G619" s="11"/>
      <c r="H619" s="11"/>
      <c r="I619" s="11"/>
      <c r="J619" s="11"/>
    </row>
    <row r="620" spans="1:10" ht="12.75">
      <c r="A620" s="11"/>
      <c r="B620" s="11"/>
      <c r="C620" s="11"/>
      <c r="D620" s="11"/>
      <c r="E620" s="11"/>
      <c r="F620" s="11"/>
      <c r="G620" s="11"/>
      <c r="H620" s="11"/>
      <c r="I620" s="11"/>
      <c r="J620" s="11"/>
    </row>
    <row r="621" spans="1:10" ht="12.75">
      <c r="A621" s="11"/>
      <c r="B621" s="11"/>
      <c r="C621" s="11"/>
      <c r="D621" s="11"/>
      <c r="E621" s="11"/>
      <c r="F621" s="11"/>
      <c r="G621" s="11"/>
      <c r="H621" s="11"/>
      <c r="I621" s="11"/>
      <c r="J621" s="11"/>
    </row>
    <row r="622" spans="1:10" ht="12.75">
      <c r="A622" s="11"/>
      <c r="B622" s="11"/>
      <c r="C622" s="11"/>
      <c r="D622" s="11"/>
      <c r="E622" s="11"/>
      <c r="F622" s="11"/>
      <c r="G622" s="11"/>
      <c r="H622" s="11"/>
      <c r="I622" s="11"/>
      <c r="J622" s="11"/>
    </row>
    <row r="623" spans="1:10" ht="12.75">
      <c r="A623" s="11"/>
      <c r="B623" s="11"/>
      <c r="C623" s="11"/>
      <c r="D623" s="11"/>
      <c r="E623" s="11"/>
      <c r="F623" s="11"/>
      <c r="G623" s="11"/>
      <c r="H623" s="11"/>
      <c r="I623" s="11"/>
      <c r="J623" s="11"/>
    </row>
    <row r="624" spans="1:10" ht="12.75">
      <c r="A624" s="11"/>
      <c r="B624" s="11"/>
      <c r="C624" s="11"/>
      <c r="D624" s="11"/>
      <c r="E624" s="11"/>
      <c r="F624" s="11"/>
      <c r="G624" s="11"/>
      <c r="H624" s="11"/>
      <c r="I624" s="11"/>
      <c r="J624" s="11"/>
    </row>
    <row r="625" spans="1:10" ht="12.75">
      <c r="A625" s="11"/>
      <c r="B625" s="11"/>
      <c r="C625" s="11"/>
      <c r="D625" s="11"/>
      <c r="E625" s="11"/>
      <c r="F625" s="11"/>
      <c r="G625" s="11"/>
      <c r="H625" s="11"/>
      <c r="I625" s="11"/>
      <c r="J625" s="11"/>
    </row>
    <row r="626" spans="1:10" ht="12.75">
      <c r="A626" s="11"/>
      <c r="B626" s="11"/>
      <c r="C626" s="11"/>
      <c r="D626" s="11"/>
      <c r="E626" s="11"/>
      <c r="F626" s="11"/>
      <c r="G626" s="11"/>
      <c r="H626" s="11"/>
      <c r="I626" s="11"/>
      <c r="J626" s="11"/>
    </row>
    <row r="627" spans="1:10" ht="12.75">
      <c r="A627" s="11"/>
      <c r="B627" s="11"/>
      <c r="C627" s="11"/>
      <c r="D627" s="11"/>
      <c r="E627" s="11"/>
      <c r="F627" s="11"/>
      <c r="G627" s="11"/>
      <c r="H627" s="11"/>
      <c r="I627" s="11"/>
      <c r="J627" s="11"/>
    </row>
    <row r="628" spans="1:10" ht="12.75">
      <c r="A628" s="11"/>
      <c r="B628" s="11"/>
      <c r="C628" s="11"/>
      <c r="D628" s="11"/>
      <c r="E628" s="11"/>
      <c r="F628" s="11"/>
      <c r="G628" s="11"/>
      <c r="H628" s="11"/>
      <c r="I628" s="11"/>
      <c r="J628" s="11"/>
    </row>
    <row r="629" spans="1:10" ht="12.75">
      <c r="A629" s="11"/>
      <c r="B629" s="11"/>
      <c r="C629" s="11"/>
      <c r="D629" s="11"/>
      <c r="E629" s="11"/>
      <c r="F629" s="11"/>
      <c r="G629" s="11"/>
      <c r="H629" s="11"/>
      <c r="I629" s="11"/>
      <c r="J629" s="11"/>
    </row>
    <row r="630" spans="1:10" ht="12.75">
      <c r="A630" s="11"/>
      <c r="B630" s="11"/>
      <c r="C630" s="11"/>
      <c r="D630" s="11"/>
      <c r="E630" s="11"/>
      <c r="F630" s="11"/>
      <c r="G630" s="11"/>
      <c r="H630" s="11"/>
      <c r="I630" s="11"/>
      <c r="J630" s="11"/>
    </row>
    <row r="631" spans="1:10" ht="12.75">
      <c r="A631" s="11"/>
      <c r="B631" s="11"/>
      <c r="C631" s="11"/>
      <c r="D631" s="11"/>
      <c r="E631" s="11"/>
      <c r="F631" s="11"/>
      <c r="G631" s="11"/>
      <c r="H631" s="11"/>
      <c r="I631" s="11"/>
      <c r="J631" s="11"/>
    </row>
    <row r="632" spans="1:10" ht="12.75">
      <c r="A632" s="11"/>
      <c r="B632" s="11"/>
      <c r="C632" s="11"/>
      <c r="D632" s="11"/>
      <c r="E632" s="11"/>
      <c r="F632" s="11"/>
      <c r="G632" s="11"/>
      <c r="H632" s="11"/>
      <c r="I632" s="11"/>
      <c r="J632" s="11"/>
    </row>
    <row r="633" spans="1:10" ht="12.75">
      <c r="A633" s="11"/>
      <c r="B633" s="11"/>
      <c r="C633" s="11"/>
      <c r="D633" s="11"/>
      <c r="E633" s="11"/>
      <c r="F633" s="11"/>
      <c r="G633" s="11"/>
      <c r="H633" s="11"/>
      <c r="I633" s="11"/>
      <c r="J633" s="11"/>
    </row>
    <row r="634" spans="1:10" ht="12.75">
      <c r="A634" s="11"/>
      <c r="B634" s="11"/>
      <c r="C634" s="11"/>
      <c r="D634" s="11"/>
      <c r="E634" s="11"/>
      <c r="F634" s="11"/>
      <c r="G634" s="11"/>
      <c r="H634" s="11"/>
      <c r="I634" s="11"/>
      <c r="J634" s="11"/>
    </row>
    <row r="635" spans="1:10" ht="12.75">
      <c r="A635" s="11"/>
      <c r="B635" s="11"/>
      <c r="C635" s="11"/>
      <c r="D635" s="11"/>
      <c r="E635" s="11"/>
      <c r="F635" s="11"/>
      <c r="G635" s="11"/>
      <c r="H635" s="11"/>
      <c r="I635" s="11"/>
      <c r="J635" s="11"/>
    </row>
    <row r="636" spans="1:10" ht="12.75">
      <c r="A636" s="11"/>
      <c r="B636" s="11"/>
      <c r="C636" s="11"/>
      <c r="D636" s="11"/>
      <c r="E636" s="11"/>
      <c r="F636" s="11"/>
      <c r="G636" s="11"/>
      <c r="H636" s="11"/>
      <c r="I636" s="11"/>
      <c r="J636" s="11"/>
    </row>
    <row r="637" spans="1:10" ht="12.75">
      <c r="A637" s="11"/>
      <c r="B637" s="11"/>
      <c r="C637" s="11"/>
      <c r="D637" s="11"/>
      <c r="E637" s="11"/>
      <c r="F637" s="11"/>
      <c r="G637" s="11"/>
      <c r="H637" s="11"/>
      <c r="I637" s="11"/>
      <c r="J637" s="11"/>
    </row>
    <row r="638" spans="1:10" ht="12.75">
      <c r="A638" s="11"/>
      <c r="B638" s="11"/>
      <c r="C638" s="11"/>
      <c r="D638" s="11"/>
      <c r="E638" s="11"/>
      <c r="F638" s="11"/>
      <c r="G638" s="11"/>
      <c r="H638" s="11"/>
      <c r="I638" s="11"/>
      <c r="J638" s="11"/>
    </row>
    <row r="639" spans="1:10" ht="12.75">
      <c r="A639" s="11"/>
      <c r="B639" s="11"/>
      <c r="C639" s="11"/>
      <c r="D639" s="11"/>
      <c r="E639" s="11"/>
      <c r="F639" s="11"/>
      <c r="G639" s="11"/>
      <c r="H639" s="11"/>
      <c r="I639" s="11"/>
      <c r="J639" s="11"/>
    </row>
    <row r="640" ht="12.75">
      <c r="B640" s="11"/>
    </row>
  </sheetData>
  <sheetProtection/>
  <printOptions/>
  <pageMargins left="0.3937007874015748" right="0" top="0.984251968503937" bottom="0.5905511811023623" header="0.5118110236220472" footer="0.5118110236220472"/>
  <pageSetup horizontalDpi="1200" verticalDpi="1200" orientation="landscape" paperSize="9" scale="67" r:id="rId2"/>
  <headerFooter alignWithMargins="0">
    <oddHeader>&amp;CSeite &amp;P von &amp;N</oddHeader>
    <oddFooter>&amp;R&amp;"Arial,Standard"&amp;8&amp;D
</oddFooter>
  </headerFooter>
  <rowBreaks count="11" manualBreakCount="11">
    <brk id="43" max="14" man="1"/>
    <brk id="71" max="255" man="1"/>
    <brk id="120" max="14" man="1"/>
    <brk id="176" max="14" man="1"/>
    <brk id="224" max="14" man="1"/>
    <brk id="271" max="14" man="1"/>
    <brk id="320" max="14" man="1"/>
    <brk id="348" max="255" man="1"/>
    <brk id="395" max="14" man="1"/>
    <brk id="448" max="14" man="1"/>
    <brk id="548" max="14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24"/>
  <sheetViews>
    <sheetView zoomScalePageLayoutView="0" workbookViewId="0" topLeftCell="A1">
      <selection activeCell="J5" sqref="J5"/>
    </sheetView>
  </sheetViews>
  <sheetFormatPr defaultColWidth="10.00390625" defaultRowHeight="12.75"/>
  <cols>
    <col min="1" max="1" width="10.421875" style="21" customWidth="1"/>
    <col min="2" max="6" width="12.7109375" style="20" customWidth="1"/>
    <col min="7" max="7" width="9.8515625" style="21" customWidth="1"/>
    <col min="8" max="9" width="12.7109375" style="20" customWidth="1"/>
    <col min="10" max="10" width="11.57421875" style="20" customWidth="1"/>
    <col min="11" max="11" width="14.00390625" style="20" customWidth="1"/>
    <col min="12" max="16384" width="10.00390625" style="20" customWidth="1"/>
  </cols>
  <sheetData>
    <row r="1" spans="1:8" ht="12.75" customHeight="1">
      <c r="A1" s="8" t="s">
        <v>183</v>
      </c>
      <c r="B1" s="19"/>
      <c r="C1" s="13"/>
      <c r="D1" s="13"/>
      <c r="E1" s="230"/>
      <c r="F1" s="230"/>
      <c r="G1" s="41"/>
      <c r="H1" s="51"/>
    </row>
    <row r="2" spans="3:10" ht="9.75" customHeight="1">
      <c r="C2" s="48"/>
      <c r="D2" s="48"/>
      <c r="E2" s="48"/>
      <c r="F2" s="48"/>
      <c r="G2" s="124"/>
      <c r="H2" s="48"/>
      <c r="I2" s="397"/>
      <c r="J2" s="397"/>
    </row>
    <row r="3" spans="1:10" ht="9.75" customHeight="1">
      <c r="A3" s="22" t="s">
        <v>116</v>
      </c>
      <c r="B3" s="23" t="s">
        <v>117</v>
      </c>
      <c r="C3" s="24"/>
      <c r="D3" s="25"/>
      <c r="E3" s="22"/>
      <c r="F3" s="401"/>
      <c r="G3" s="646" t="s">
        <v>118</v>
      </c>
      <c r="H3" s="647"/>
      <c r="I3" s="396"/>
      <c r="J3" s="479"/>
    </row>
    <row r="4" spans="1:10" ht="9.75" customHeight="1">
      <c r="A4" s="26" t="s">
        <v>119</v>
      </c>
      <c r="B4" s="27"/>
      <c r="C4" s="28"/>
      <c r="D4" s="29"/>
      <c r="E4" s="26"/>
      <c r="F4" s="282"/>
      <c r="G4" s="30"/>
      <c r="H4" s="31"/>
      <c r="I4" s="398"/>
      <c r="J4" s="590"/>
    </row>
    <row r="5" spans="1:10" ht="9.75" customHeight="1">
      <c r="A5" s="32"/>
      <c r="B5" s="27"/>
      <c r="C5" s="28"/>
      <c r="D5" s="29"/>
      <c r="E5" s="32"/>
      <c r="F5" s="32"/>
      <c r="G5" s="22"/>
      <c r="H5" s="33"/>
      <c r="I5" s="591"/>
      <c r="J5" s="480"/>
    </row>
    <row r="6" spans="1:10" ht="9.75" customHeight="1">
      <c r="A6" s="32"/>
      <c r="B6" s="27"/>
      <c r="C6" s="28"/>
      <c r="D6" s="29"/>
      <c r="E6" s="26"/>
      <c r="F6" s="26"/>
      <c r="G6" s="32" t="s">
        <v>120</v>
      </c>
      <c r="H6" s="34" t="s">
        <v>110</v>
      </c>
      <c r="I6" s="34" t="s">
        <v>110</v>
      </c>
      <c r="J6" s="34"/>
    </row>
    <row r="7" spans="1:10" ht="9.75" customHeight="1">
      <c r="A7" s="35"/>
      <c r="B7" s="36"/>
      <c r="C7" s="37"/>
      <c r="D7" s="38"/>
      <c r="E7" s="39"/>
      <c r="F7" s="39"/>
      <c r="G7" s="39"/>
      <c r="H7" s="40"/>
      <c r="I7" s="592"/>
      <c r="J7" s="481"/>
    </row>
    <row r="8" spans="1:10" s="41" customFormat="1" ht="9.75" customHeight="1">
      <c r="A8" s="89"/>
      <c r="B8" s="87" t="s">
        <v>17</v>
      </c>
      <c r="C8" s="88"/>
      <c r="D8" s="88"/>
      <c r="E8" s="88">
        <v>2013</v>
      </c>
      <c r="F8" s="88">
        <v>2014</v>
      </c>
      <c r="G8" s="88"/>
      <c r="H8" s="593">
        <v>2013</v>
      </c>
      <c r="I8" s="594">
        <v>2014</v>
      </c>
      <c r="J8" s="595" t="s">
        <v>415</v>
      </c>
    </row>
    <row r="9" spans="1:10" ht="9.75" customHeight="1">
      <c r="A9" s="26"/>
      <c r="B9" s="27"/>
      <c r="C9" s="28"/>
      <c r="D9" s="29"/>
      <c r="E9" s="44"/>
      <c r="F9" s="44"/>
      <c r="G9" s="45"/>
      <c r="H9" s="46"/>
      <c r="I9" s="596"/>
      <c r="J9" s="597"/>
    </row>
    <row r="10" spans="1:10" ht="9.75" customHeight="1">
      <c r="A10" s="26"/>
      <c r="B10" s="322" t="s">
        <v>364</v>
      </c>
      <c r="C10" s="42"/>
      <c r="D10" s="323"/>
      <c r="E10" s="44"/>
      <c r="F10" s="44"/>
      <c r="G10" s="45"/>
      <c r="H10" s="46"/>
      <c r="I10" s="596"/>
      <c r="J10" s="597"/>
    </row>
    <row r="11" spans="1:10" ht="9.75" customHeight="1">
      <c r="A11" s="26">
        <v>11130</v>
      </c>
      <c r="B11" s="284" t="s">
        <v>289</v>
      </c>
      <c r="C11" s="28"/>
      <c r="D11" s="29"/>
      <c r="E11" s="44">
        <v>56982.09</v>
      </c>
      <c r="F11" s="44">
        <v>57551.91</v>
      </c>
      <c r="G11" s="598">
        <v>0.167</v>
      </c>
      <c r="H11" s="46">
        <f>ROUND(E11*G11,2)</f>
        <v>9516.01</v>
      </c>
      <c r="I11" s="46">
        <f>ROUND(F11*G11,2)</f>
        <v>9611.17</v>
      </c>
      <c r="J11" s="478">
        <f>ROUND((H11+I11)/2,2)</f>
        <v>9563.59</v>
      </c>
    </row>
    <row r="12" spans="1:10" ht="9.75" customHeight="1">
      <c r="A12" s="26"/>
      <c r="B12" s="27" t="s">
        <v>6</v>
      </c>
      <c r="C12" s="28" t="s">
        <v>121</v>
      </c>
      <c r="D12" s="29"/>
      <c r="E12" s="44">
        <f>SUM(E11*0.1)</f>
        <v>5698.209</v>
      </c>
      <c r="F12" s="44">
        <f>SUM(F11*0.1)</f>
        <v>5755.191000000001</v>
      </c>
      <c r="G12" s="598">
        <v>0.167</v>
      </c>
      <c r="H12" s="46">
        <f>ROUND(E12*G12,2)</f>
        <v>951.6</v>
      </c>
      <c r="I12" s="46">
        <f>ROUND(G12*F12,2)</f>
        <v>961.12</v>
      </c>
      <c r="J12" s="478">
        <f>ROUND((H12+I12)/2,2)</f>
        <v>956.36</v>
      </c>
    </row>
    <row r="13" spans="1:10" ht="9.75" customHeight="1">
      <c r="A13" s="26"/>
      <c r="B13" s="27"/>
      <c r="C13" s="28" t="s">
        <v>124</v>
      </c>
      <c r="D13" s="29"/>
      <c r="E13" s="44">
        <f>SUM(E11*0.2)</f>
        <v>11396.418</v>
      </c>
      <c r="F13" s="44">
        <f>SUM(F11*0.2)</f>
        <v>11510.382000000001</v>
      </c>
      <c r="G13" s="598">
        <v>0.167</v>
      </c>
      <c r="H13" s="46">
        <f>ROUND(E13*G13,2)</f>
        <v>1903.2</v>
      </c>
      <c r="I13" s="46">
        <f>ROUND(F13*G13,2)</f>
        <v>1922.23</v>
      </c>
      <c r="J13" s="478">
        <f>ROUND((H13+I13)/2,2)</f>
        <v>1912.72</v>
      </c>
    </row>
    <row r="14" spans="1:10" ht="9.75" customHeight="1">
      <c r="A14" s="32"/>
      <c r="B14" s="27"/>
      <c r="C14" s="28" t="s">
        <v>123</v>
      </c>
      <c r="D14" s="29"/>
      <c r="E14" s="44">
        <v>2200</v>
      </c>
      <c r="F14" s="44">
        <v>2200</v>
      </c>
      <c r="G14" s="598">
        <v>0.167</v>
      </c>
      <c r="H14" s="46">
        <f>ROUND(E14*G14,2)</f>
        <v>367.4</v>
      </c>
      <c r="I14" s="46">
        <f>ROUND(F14*G14,2)</f>
        <v>367.4</v>
      </c>
      <c r="J14" s="478">
        <f>ROUND((H14+I14)/2,2)</f>
        <v>367.4</v>
      </c>
    </row>
    <row r="15" spans="1:10" ht="9.75" customHeight="1">
      <c r="A15" s="26"/>
      <c r="B15" s="27"/>
      <c r="C15" s="28"/>
      <c r="D15" s="29"/>
      <c r="E15" s="44"/>
      <c r="F15" s="44"/>
      <c r="G15" s="45"/>
      <c r="H15" s="46"/>
      <c r="I15" s="46"/>
      <c r="J15" s="478"/>
    </row>
    <row r="16" spans="1:10" ht="8.25" customHeight="1">
      <c r="A16" s="26"/>
      <c r="B16" s="322" t="s">
        <v>365</v>
      </c>
      <c r="C16" s="42"/>
      <c r="D16" s="323"/>
      <c r="E16" s="44"/>
      <c r="F16" s="44"/>
      <c r="G16" s="45"/>
      <c r="H16" s="46"/>
      <c r="I16" s="46"/>
      <c r="J16" s="478"/>
    </row>
    <row r="17" spans="1:10" ht="12" customHeight="1">
      <c r="A17" s="26">
        <v>11130</v>
      </c>
      <c r="B17" s="284" t="s">
        <v>289</v>
      </c>
      <c r="C17" s="28"/>
      <c r="D17" s="29"/>
      <c r="E17" s="44">
        <v>42190.16</v>
      </c>
      <c r="F17" s="44">
        <v>42612.06</v>
      </c>
      <c r="G17" s="598">
        <v>0.133</v>
      </c>
      <c r="H17" s="46">
        <f>ROUND(E17*G17,2)</f>
        <v>5611.29</v>
      </c>
      <c r="I17" s="46">
        <f>ROUND(F17*G17,2)</f>
        <v>5667.4</v>
      </c>
      <c r="J17" s="478">
        <f>ROUND((H17+I17)/2,2)</f>
        <v>5639.35</v>
      </c>
    </row>
    <row r="18" spans="1:10" ht="9.75" customHeight="1">
      <c r="A18" s="26"/>
      <c r="B18" s="27" t="s">
        <v>6</v>
      </c>
      <c r="C18" s="28" t="s">
        <v>121</v>
      </c>
      <c r="D18" s="29"/>
      <c r="E18" s="44">
        <f>SUM(E17*0.1)</f>
        <v>4219.0160000000005</v>
      </c>
      <c r="F18" s="44">
        <f>SUM(F17*0.1)</f>
        <v>4261.206</v>
      </c>
      <c r="G18" s="598">
        <v>0.133</v>
      </c>
      <c r="H18" s="46">
        <f>ROUND(E18*G18,2)</f>
        <v>561.13</v>
      </c>
      <c r="I18" s="46">
        <f>ROUND(G18*F18,2)</f>
        <v>566.74</v>
      </c>
      <c r="J18" s="478">
        <f>ROUND((H18+I18)/2,2)</f>
        <v>563.94</v>
      </c>
    </row>
    <row r="19" spans="1:10" ht="9.75" customHeight="1">
      <c r="A19" s="26"/>
      <c r="B19" s="27"/>
      <c r="C19" s="28" t="s">
        <v>124</v>
      </c>
      <c r="D19" s="29"/>
      <c r="E19" s="44">
        <f>SUM(E17*0.2)</f>
        <v>8438.032000000001</v>
      </c>
      <c r="F19" s="44">
        <f>SUM(F17*0.2)</f>
        <v>8522.412</v>
      </c>
      <c r="G19" s="598">
        <v>0.133</v>
      </c>
      <c r="H19" s="46">
        <f>ROUND(E19*G19,2)</f>
        <v>1122.26</v>
      </c>
      <c r="I19" s="46">
        <f>ROUND(F19*G19,2)</f>
        <v>1133.48</v>
      </c>
      <c r="J19" s="478">
        <f>ROUND((H19+I19)/2,2)</f>
        <v>1127.87</v>
      </c>
    </row>
    <row r="20" spans="1:10" ht="9.75" customHeight="1">
      <c r="A20" s="32"/>
      <c r="B20" s="27"/>
      <c r="C20" s="28" t="s">
        <v>123</v>
      </c>
      <c r="D20" s="29"/>
      <c r="E20" s="44">
        <v>2200</v>
      </c>
      <c r="F20" s="44">
        <v>2200</v>
      </c>
      <c r="G20" s="598">
        <v>0.133</v>
      </c>
      <c r="H20" s="46">
        <f>ROUND(E20*G20,2)</f>
        <v>292.6</v>
      </c>
      <c r="I20" s="46">
        <f>ROUND(F20*G20,2)</f>
        <v>292.6</v>
      </c>
      <c r="J20" s="478">
        <f>ROUND((H20+I20)/2,2)</f>
        <v>292.6</v>
      </c>
    </row>
    <row r="21" spans="1:10" ht="9.75" customHeight="1">
      <c r="A21" s="32"/>
      <c r="B21" s="27"/>
      <c r="C21" s="28"/>
      <c r="D21" s="29"/>
      <c r="E21" s="44"/>
      <c r="F21" s="44"/>
      <c r="G21" s="240"/>
      <c r="H21" s="46"/>
      <c r="I21" s="46"/>
      <c r="J21" s="478"/>
    </row>
    <row r="22" spans="1:10" ht="9.75" customHeight="1">
      <c r="A22" s="26"/>
      <c r="B22" s="322" t="s">
        <v>125</v>
      </c>
      <c r="C22" s="42"/>
      <c r="D22" s="323"/>
      <c r="E22" s="44"/>
      <c r="F22" s="44"/>
      <c r="G22" s="45"/>
      <c r="H22" s="46"/>
      <c r="I22" s="46"/>
      <c r="J22" s="478"/>
    </row>
    <row r="23" spans="1:10" ht="9.75" customHeight="1">
      <c r="A23" s="26">
        <v>11130</v>
      </c>
      <c r="B23" s="284" t="s">
        <v>289</v>
      </c>
      <c r="C23" s="28"/>
      <c r="D23" s="29"/>
      <c r="E23" s="44">
        <v>57172</v>
      </c>
      <c r="F23" s="44">
        <v>57743.72</v>
      </c>
      <c r="G23" s="45">
        <v>0.01</v>
      </c>
      <c r="H23" s="46">
        <f>ROUND(E23*G23,2)</f>
        <v>571.72</v>
      </c>
      <c r="I23" s="46">
        <f>ROUND(F23*G23,2)</f>
        <v>577.44</v>
      </c>
      <c r="J23" s="478">
        <f>ROUND((H23+I23)/2,2)</f>
        <v>574.58</v>
      </c>
    </row>
    <row r="24" spans="1:10" ht="9.75" customHeight="1">
      <c r="A24" s="26"/>
      <c r="B24" s="27" t="s">
        <v>6</v>
      </c>
      <c r="C24" s="28" t="s">
        <v>121</v>
      </c>
      <c r="D24" s="29"/>
      <c r="E24" s="44">
        <f>SUM(E23*0.1)</f>
        <v>5717.200000000001</v>
      </c>
      <c r="F24" s="44">
        <f>SUM(F23*0.1)</f>
        <v>5774.372</v>
      </c>
      <c r="G24" s="45">
        <v>0.01</v>
      </c>
      <c r="H24" s="46">
        <f>ROUND(E24*G24,2)</f>
        <v>57.17</v>
      </c>
      <c r="I24" s="46">
        <f>ROUND(G24*F24,2)</f>
        <v>57.74</v>
      </c>
      <c r="J24" s="478">
        <f>ROUND((H24+I24)/2,2)</f>
        <v>57.46</v>
      </c>
    </row>
    <row r="25" spans="1:10" ht="9.75" customHeight="1">
      <c r="A25" s="26"/>
      <c r="B25" s="27"/>
      <c r="C25" s="28" t="s">
        <v>124</v>
      </c>
      <c r="D25" s="29"/>
      <c r="E25" s="44">
        <f>SUM(E23*0.2)</f>
        <v>11434.400000000001</v>
      </c>
      <c r="F25" s="44">
        <f>SUM(F23*0.2)</f>
        <v>11548.744</v>
      </c>
      <c r="G25" s="45">
        <v>0.01</v>
      </c>
      <c r="H25" s="46">
        <f>ROUND(E25*G25,2)</f>
        <v>114.34</v>
      </c>
      <c r="I25" s="46">
        <f>ROUND(F25*G25,2)</f>
        <v>115.49</v>
      </c>
      <c r="J25" s="478">
        <f>ROUND((H25+I25)/2,2)</f>
        <v>114.92</v>
      </c>
    </row>
    <row r="26" spans="1:10" ht="9.75" customHeight="1">
      <c r="A26" s="32"/>
      <c r="B26" s="27"/>
      <c r="C26" s="28" t="s">
        <v>123</v>
      </c>
      <c r="D26" s="29"/>
      <c r="E26" s="44">
        <v>2200</v>
      </c>
      <c r="F26" s="44">
        <v>2200</v>
      </c>
      <c r="G26" s="240">
        <v>0.01</v>
      </c>
      <c r="H26" s="46">
        <f>ROUND(E26*G26,2)</f>
        <v>22</v>
      </c>
      <c r="I26" s="46">
        <f>ROUND(F26*G26,2)</f>
        <v>22</v>
      </c>
      <c r="J26" s="478">
        <f>ROUND((H26+I26)/2,2)</f>
        <v>22</v>
      </c>
    </row>
    <row r="27" spans="1:10" ht="9.75" customHeight="1">
      <c r="A27" s="32"/>
      <c r="B27" s="27"/>
      <c r="C27" s="28"/>
      <c r="D27" s="29"/>
      <c r="E27" s="43"/>
      <c r="F27" s="43"/>
      <c r="G27" s="240"/>
      <c r="H27" s="46"/>
      <c r="I27" s="46"/>
      <c r="J27" s="478"/>
    </row>
    <row r="28" spans="1:10" ht="9.75" customHeight="1">
      <c r="A28" s="26"/>
      <c r="B28" s="322" t="s">
        <v>275</v>
      </c>
      <c r="C28" s="42"/>
      <c r="D28" s="323"/>
      <c r="E28" s="44"/>
      <c r="F28" s="44"/>
      <c r="G28" s="45"/>
      <c r="H28" s="46"/>
      <c r="I28" s="46"/>
      <c r="J28" s="478"/>
    </row>
    <row r="29" spans="1:10" ht="9.75" customHeight="1">
      <c r="A29" s="26">
        <v>11130</v>
      </c>
      <c r="B29" s="284"/>
      <c r="C29" s="28"/>
      <c r="D29" s="29"/>
      <c r="E29" s="44">
        <v>41766</v>
      </c>
      <c r="F29" s="44">
        <v>42183.66</v>
      </c>
      <c r="G29" s="45">
        <v>0.1</v>
      </c>
      <c r="H29" s="46">
        <f>ROUND(E29*G29,2)</f>
        <v>4176.6</v>
      </c>
      <c r="I29" s="46">
        <f>ROUND(F29*G29,2)</f>
        <v>4218.37</v>
      </c>
      <c r="J29" s="478">
        <f>ROUND((H29+I29)/2,2)</f>
        <v>4197.49</v>
      </c>
    </row>
    <row r="30" spans="1:10" ht="9.75" customHeight="1">
      <c r="A30" s="26"/>
      <c r="B30" s="27" t="s">
        <v>6</v>
      </c>
      <c r="C30" s="28" t="s">
        <v>121</v>
      </c>
      <c r="D30" s="29"/>
      <c r="E30" s="44">
        <f>SUM(E29*0.1)</f>
        <v>4176.6</v>
      </c>
      <c r="F30" s="44">
        <f>SUM(F29*0.1)</f>
        <v>4218.366000000001</v>
      </c>
      <c r="G30" s="45">
        <v>0.1</v>
      </c>
      <c r="H30" s="46">
        <f>ROUND(E30*G30,2)</f>
        <v>417.66</v>
      </c>
      <c r="I30" s="46">
        <f>ROUND(G30*F30,2)</f>
        <v>421.84</v>
      </c>
      <c r="J30" s="478">
        <f>ROUND((H30+I30)/2,2)</f>
        <v>419.75</v>
      </c>
    </row>
    <row r="31" spans="1:10" ht="9.75" customHeight="1">
      <c r="A31" s="26"/>
      <c r="B31" s="27"/>
      <c r="C31" s="28" t="s">
        <v>124</v>
      </c>
      <c r="D31" s="29"/>
      <c r="E31" s="44">
        <f>SUM(E29*0.2)</f>
        <v>8353.2</v>
      </c>
      <c r="F31" s="44">
        <f>SUM(F29*0.2)</f>
        <v>8436.732000000002</v>
      </c>
      <c r="G31" s="45">
        <v>0.1</v>
      </c>
      <c r="H31" s="46">
        <f>ROUND(E31*G31,2)</f>
        <v>835.32</v>
      </c>
      <c r="I31" s="46">
        <f>ROUND(F31*G31,2)</f>
        <v>843.67</v>
      </c>
      <c r="J31" s="478">
        <f>ROUND((H31+I31)/2,2)</f>
        <v>839.5</v>
      </c>
    </row>
    <row r="32" spans="1:10" ht="9.75" customHeight="1">
      <c r="A32" s="26"/>
      <c r="B32" s="27"/>
      <c r="C32" s="28" t="s">
        <v>123</v>
      </c>
      <c r="D32" s="29"/>
      <c r="E32" s="44">
        <v>2200</v>
      </c>
      <c r="F32" s="44">
        <v>2200</v>
      </c>
      <c r="G32" s="45">
        <v>0.1</v>
      </c>
      <c r="H32" s="46">
        <f>ROUND(E32*G32,2)</f>
        <v>220</v>
      </c>
      <c r="I32" s="46">
        <f>ROUND(F32*G32,2)</f>
        <v>220</v>
      </c>
      <c r="J32" s="478">
        <f>ROUND((H32+I32)/2,2)</f>
        <v>220</v>
      </c>
    </row>
    <row r="33" spans="1:10" ht="9.75" customHeight="1">
      <c r="A33" s="26"/>
      <c r="B33" s="27"/>
      <c r="C33" s="28"/>
      <c r="D33" s="29"/>
      <c r="E33" s="44"/>
      <c r="F33" s="44"/>
      <c r="G33" s="45"/>
      <c r="H33" s="46"/>
      <c r="I33" s="46"/>
      <c r="J33" s="478"/>
    </row>
    <row r="34" spans="1:10" ht="9.75" customHeight="1">
      <c r="A34" s="26"/>
      <c r="B34" s="322" t="s">
        <v>275</v>
      </c>
      <c r="C34" s="42"/>
      <c r="D34" s="323"/>
      <c r="E34" s="44"/>
      <c r="F34" s="44"/>
      <c r="G34" s="45"/>
      <c r="H34" s="46"/>
      <c r="I34" s="46"/>
      <c r="J34" s="478"/>
    </row>
    <row r="35" spans="1:10" ht="9.75" customHeight="1">
      <c r="A35" s="26">
        <v>11130</v>
      </c>
      <c r="B35" s="284"/>
      <c r="C35" s="28"/>
      <c r="D35" s="29"/>
      <c r="E35" s="44">
        <v>42526</v>
      </c>
      <c r="F35" s="44">
        <v>42951.26</v>
      </c>
      <c r="G35" s="45">
        <v>0.1</v>
      </c>
      <c r="H35" s="46">
        <f>ROUND(E35*G35,2)</f>
        <v>4252.6</v>
      </c>
      <c r="I35" s="46">
        <f>ROUND(F35*G35,2)</f>
        <v>4295.13</v>
      </c>
      <c r="J35" s="478">
        <f>ROUND((H35+I35)/2,2)</f>
        <v>4273.87</v>
      </c>
    </row>
    <row r="36" spans="1:10" ht="9.75" customHeight="1">
      <c r="A36" s="26"/>
      <c r="B36" s="27" t="s">
        <v>6</v>
      </c>
      <c r="C36" s="28" t="s">
        <v>121</v>
      </c>
      <c r="D36" s="29"/>
      <c r="E36" s="44">
        <f>SUM(E35*0.1)</f>
        <v>4252.6</v>
      </c>
      <c r="F36" s="44">
        <f>SUM(F35*0.1)</f>
        <v>4295.126</v>
      </c>
      <c r="G36" s="45">
        <v>0.1</v>
      </c>
      <c r="H36" s="46">
        <f>ROUND(E36*G36,2)</f>
        <v>425.26</v>
      </c>
      <c r="I36" s="46">
        <f>ROUND(G36*F36,2)</f>
        <v>429.51</v>
      </c>
      <c r="J36" s="478">
        <f>ROUND((H36+I36)/2,2)</f>
        <v>427.39</v>
      </c>
    </row>
    <row r="37" spans="1:10" ht="9.75" customHeight="1">
      <c r="A37" s="26"/>
      <c r="B37" s="27"/>
      <c r="C37" s="28" t="s">
        <v>124</v>
      </c>
      <c r="D37" s="29"/>
      <c r="E37" s="44">
        <f>SUM(E35*0.2)</f>
        <v>8505.2</v>
      </c>
      <c r="F37" s="44">
        <f>SUM(F35*0.2)</f>
        <v>8590.252</v>
      </c>
      <c r="G37" s="45">
        <v>0.1</v>
      </c>
      <c r="H37" s="46">
        <f>ROUND(E37*G37,2)</f>
        <v>850.52</v>
      </c>
      <c r="I37" s="46">
        <f>ROUND(F37*G37,2)</f>
        <v>859.03</v>
      </c>
      <c r="J37" s="478">
        <f>ROUND((H37+I37)/2,2)</f>
        <v>854.78</v>
      </c>
    </row>
    <row r="38" spans="1:10" ht="9.75" customHeight="1">
      <c r="A38" s="26"/>
      <c r="B38" s="27"/>
      <c r="C38" s="28" t="s">
        <v>123</v>
      </c>
      <c r="D38" s="29"/>
      <c r="E38" s="44">
        <v>2200</v>
      </c>
      <c r="F38" s="44">
        <v>2200</v>
      </c>
      <c r="G38" s="45">
        <v>0.1</v>
      </c>
      <c r="H38" s="46">
        <f>ROUND(E38*G38,2)</f>
        <v>220</v>
      </c>
      <c r="I38" s="46">
        <f>ROUND(F38*G38,2)</f>
        <v>220</v>
      </c>
      <c r="J38" s="478">
        <f>ROUND((H38+I38)/2,2)</f>
        <v>220</v>
      </c>
    </row>
    <row r="39" spans="1:10" ht="9.75" customHeight="1">
      <c r="A39" s="26"/>
      <c r="B39" s="27"/>
      <c r="C39" s="28"/>
      <c r="D39" s="29"/>
      <c r="E39" s="44"/>
      <c r="F39" s="44"/>
      <c r="G39" s="45"/>
      <c r="H39" s="46"/>
      <c r="I39" s="46"/>
      <c r="J39" s="478"/>
    </row>
    <row r="40" spans="1:10" ht="9.75" customHeight="1">
      <c r="A40" s="26"/>
      <c r="B40" s="322" t="s">
        <v>403</v>
      </c>
      <c r="C40" s="42"/>
      <c r="D40" s="323"/>
      <c r="E40" s="44"/>
      <c r="F40" s="44"/>
      <c r="G40" s="45"/>
      <c r="H40" s="46"/>
      <c r="I40" s="46"/>
      <c r="J40" s="478"/>
    </row>
    <row r="41" spans="1:10" ht="9.75" customHeight="1">
      <c r="A41" s="26">
        <v>11130</v>
      </c>
      <c r="B41" s="284" t="s">
        <v>288</v>
      </c>
      <c r="C41" s="28"/>
      <c r="D41" s="29"/>
      <c r="E41" s="44">
        <v>29057</v>
      </c>
      <c r="F41" s="44">
        <v>29347.57</v>
      </c>
      <c r="G41" s="45">
        <v>0.2</v>
      </c>
      <c r="H41" s="46">
        <f>ROUND(E41*G41,2)</f>
        <v>5811.4</v>
      </c>
      <c r="I41" s="46">
        <f>ROUND(F41*G41,2)</f>
        <v>5869.51</v>
      </c>
      <c r="J41" s="478">
        <f>ROUND((H41+I41)/2,2)</f>
        <v>5840.46</v>
      </c>
    </row>
    <row r="42" spans="1:10" ht="9.75" customHeight="1">
      <c r="A42" s="26"/>
      <c r="B42" s="27" t="s">
        <v>6</v>
      </c>
      <c r="C42" s="28" t="s">
        <v>121</v>
      </c>
      <c r="D42" s="29"/>
      <c r="E42" s="44">
        <f>SUM(E41*0.1)</f>
        <v>2905.7000000000003</v>
      </c>
      <c r="F42" s="44">
        <f>SUM(F41*0.1)</f>
        <v>2934.757</v>
      </c>
      <c r="G42" s="45">
        <v>0.2</v>
      </c>
      <c r="H42" s="46">
        <f>ROUND(E42*G42,2)</f>
        <v>581.14</v>
      </c>
      <c r="I42" s="46">
        <f>ROUND(G42*F42,2)</f>
        <v>586.95</v>
      </c>
      <c r="J42" s="478">
        <f>ROUND((H42+I42)/2,2)</f>
        <v>584.05</v>
      </c>
    </row>
    <row r="43" spans="1:10" ht="9.75" customHeight="1">
      <c r="A43" s="26"/>
      <c r="B43" s="27"/>
      <c r="C43" s="28" t="s">
        <v>124</v>
      </c>
      <c r="D43" s="29"/>
      <c r="E43" s="44">
        <f>SUM(E41*0.2)</f>
        <v>5811.400000000001</v>
      </c>
      <c r="F43" s="44">
        <f>SUM(F41*0.2)</f>
        <v>5869.514</v>
      </c>
      <c r="G43" s="45">
        <v>0.2</v>
      </c>
      <c r="H43" s="46">
        <f>ROUND(E43*G43,2)</f>
        <v>1162.28</v>
      </c>
      <c r="I43" s="46">
        <f>ROUND(F43*G43,2)</f>
        <v>1173.9</v>
      </c>
      <c r="J43" s="478">
        <f>ROUND((H43+I43)/2,2)</f>
        <v>1168.09</v>
      </c>
    </row>
    <row r="44" spans="1:10" ht="9.75" customHeight="1">
      <c r="A44" s="26"/>
      <c r="B44" s="27"/>
      <c r="C44" s="28" t="s">
        <v>123</v>
      </c>
      <c r="D44" s="29"/>
      <c r="E44" s="44">
        <v>2200</v>
      </c>
      <c r="F44" s="44">
        <v>2200</v>
      </c>
      <c r="G44" s="45">
        <v>0.2</v>
      </c>
      <c r="H44" s="46">
        <f>ROUND(E44*G44,2)</f>
        <v>440</v>
      </c>
      <c r="I44" s="46">
        <f>ROUND(F44*G44,2)</f>
        <v>440</v>
      </c>
      <c r="J44" s="478">
        <f>ROUND((H44+I44)/2,2)</f>
        <v>440</v>
      </c>
    </row>
    <row r="45" spans="1:10" ht="9.75" customHeight="1">
      <c r="A45" s="34"/>
      <c r="B45" s="535"/>
      <c r="C45" s="536"/>
      <c r="D45" s="537"/>
      <c r="E45" s="530"/>
      <c r="F45" s="530"/>
      <c r="G45" s="531"/>
      <c r="H45" s="46"/>
      <c r="I45" s="46"/>
      <c r="J45" s="538"/>
    </row>
    <row r="46" spans="1:11" ht="9.75" customHeight="1">
      <c r="A46" s="34"/>
      <c r="B46" s="527" t="s">
        <v>498</v>
      </c>
      <c r="C46" s="528"/>
      <c r="D46" s="529"/>
      <c r="E46" s="530"/>
      <c r="F46" s="530"/>
      <c r="G46" s="531"/>
      <c r="H46" s="46"/>
      <c r="I46" s="46"/>
      <c r="J46" s="538"/>
      <c r="K46" s="47"/>
    </row>
    <row r="47" spans="1:10" ht="9.75" customHeight="1">
      <c r="A47" s="34">
        <v>11130</v>
      </c>
      <c r="B47" s="533" t="s">
        <v>288</v>
      </c>
      <c r="C47" s="536"/>
      <c r="D47" s="537"/>
      <c r="E47" s="530">
        <v>43850</v>
      </c>
      <c r="F47" s="530">
        <v>44288.5</v>
      </c>
      <c r="G47" s="531"/>
      <c r="H47" s="46">
        <v>1100.5</v>
      </c>
      <c r="I47" s="46">
        <v>1111.5</v>
      </c>
      <c r="J47" s="538">
        <f>ROUND((H47+I47)/2,2)</f>
        <v>1106</v>
      </c>
    </row>
    <row r="48" spans="1:10" ht="9.75" customHeight="1">
      <c r="A48" s="34"/>
      <c r="B48" s="535" t="s">
        <v>6</v>
      </c>
      <c r="C48" s="536" t="s">
        <v>121</v>
      </c>
      <c r="D48" s="537"/>
      <c r="E48" s="530">
        <f>SUM(E47*0.1)</f>
        <v>4385</v>
      </c>
      <c r="F48" s="530">
        <f>SUM(F47*0.1)</f>
        <v>4428.85</v>
      </c>
      <c r="G48" s="531"/>
      <c r="H48" s="46">
        <f>H47*0.1</f>
        <v>110.05000000000001</v>
      </c>
      <c r="I48" s="46">
        <f>I47*0.1</f>
        <v>111.15</v>
      </c>
      <c r="J48" s="538">
        <f>ROUND((H48+I48)/2,2)</f>
        <v>110.6</v>
      </c>
    </row>
    <row r="49" spans="1:10" ht="9.75" customHeight="1">
      <c r="A49" s="34"/>
      <c r="B49" s="535"/>
      <c r="C49" s="536" t="s">
        <v>124</v>
      </c>
      <c r="D49" s="537"/>
      <c r="E49" s="530">
        <f>SUM(E47*0.2)</f>
        <v>8770</v>
      </c>
      <c r="F49" s="530">
        <f>SUM(F47*0.2)</f>
        <v>8857.7</v>
      </c>
      <c r="G49" s="531"/>
      <c r="H49" s="46">
        <f>H47*0.2</f>
        <v>220.10000000000002</v>
      </c>
      <c r="I49" s="46">
        <f>I47*0.2</f>
        <v>222.3</v>
      </c>
      <c r="J49" s="538">
        <f>ROUND((H49+I49)/2,2)</f>
        <v>221.2</v>
      </c>
    </row>
    <row r="50" spans="1:10" ht="9.75" customHeight="1">
      <c r="A50" s="34"/>
      <c r="B50" s="535"/>
      <c r="C50" s="536" t="s">
        <v>123</v>
      </c>
      <c r="D50" s="537"/>
      <c r="E50" s="530">
        <v>13200</v>
      </c>
      <c r="F50" s="530">
        <v>13200</v>
      </c>
      <c r="G50" s="531"/>
      <c r="H50" s="46">
        <v>331.5</v>
      </c>
      <c r="I50" s="46">
        <v>331.5</v>
      </c>
      <c r="J50" s="538">
        <f>ROUND((H50+I50)/2,2)</f>
        <v>331.5</v>
      </c>
    </row>
    <row r="51" spans="1:10" ht="9.75" customHeight="1">
      <c r="A51" s="34"/>
      <c r="B51" s="535"/>
      <c r="C51" s="536"/>
      <c r="D51" s="537"/>
      <c r="E51" s="530"/>
      <c r="F51" s="530"/>
      <c r="G51" s="531"/>
      <c r="H51" s="46"/>
      <c r="I51" s="46"/>
      <c r="J51" s="532"/>
    </row>
    <row r="52" spans="1:10" ht="9.75" customHeight="1">
      <c r="A52" s="34"/>
      <c r="B52" s="527" t="s">
        <v>495</v>
      </c>
      <c r="C52" s="528"/>
      <c r="D52" s="529"/>
      <c r="E52" s="530"/>
      <c r="F52" s="530"/>
      <c r="G52" s="531"/>
      <c r="H52" s="46"/>
      <c r="I52" s="46"/>
      <c r="J52" s="532"/>
    </row>
    <row r="53" spans="1:10" ht="9.75" customHeight="1">
      <c r="A53" s="34">
        <v>54500</v>
      </c>
      <c r="B53" s="533"/>
      <c r="C53" s="528"/>
      <c r="D53" s="529"/>
      <c r="E53" s="530">
        <v>6400</v>
      </c>
      <c r="F53" s="530">
        <v>6500</v>
      </c>
      <c r="G53" s="531"/>
      <c r="H53" s="46"/>
      <c r="I53" s="46"/>
      <c r="J53" s="532"/>
    </row>
    <row r="54" spans="1:10" ht="9.75" customHeight="1">
      <c r="A54" s="534"/>
      <c r="B54" s="535" t="s">
        <v>6</v>
      </c>
      <c r="C54" s="536" t="s">
        <v>121</v>
      </c>
      <c r="D54" s="537"/>
      <c r="E54" s="530"/>
      <c r="F54" s="530"/>
      <c r="G54" s="531"/>
      <c r="H54" s="46">
        <f>(E53*0.1)</f>
        <v>640</v>
      </c>
      <c r="I54" s="46">
        <f>(F53*0.1)</f>
        <v>650</v>
      </c>
      <c r="J54" s="538">
        <f>ROUND((H54+I54)/2,2)</f>
        <v>645</v>
      </c>
    </row>
    <row r="55" spans="1:10" ht="9.75" customHeight="1">
      <c r="A55" s="34"/>
      <c r="B55" s="535"/>
      <c r="C55" s="536" t="s">
        <v>124</v>
      </c>
      <c r="D55" s="537"/>
      <c r="E55" s="530"/>
      <c r="F55" s="530"/>
      <c r="G55" s="531"/>
      <c r="H55" s="46">
        <f>(E53*0.2)</f>
        <v>1280</v>
      </c>
      <c r="I55" s="46">
        <f>(F53*0.2)</f>
        <v>1300</v>
      </c>
      <c r="J55" s="538">
        <f>ROUND((H55+I55)/2,2)</f>
        <v>1290</v>
      </c>
    </row>
    <row r="56" spans="1:10" ht="9.75" customHeight="1">
      <c r="A56" s="34"/>
      <c r="B56" s="535"/>
      <c r="C56" s="536" t="s">
        <v>123</v>
      </c>
      <c r="D56" s="537"/>
      <c r="E56" s="530">
        <v>4400</v>
      </c>
      <c r="F56" s="530">
        <v>4400</v>
      </c>
      <c r="G56" s="531">
        <v>0.12</v>
      </c>
      <c r="H56" s="46">
        <f>ROUND(E56*G56,2)</f>
        <v>528</v>
      </c>
      <c r="I56" s="46">
        <f>ROUND(F56*G56,2)</f>
        <v>528</v>
      </c>
      <c r="J56" s="538">
        <f>ROUND((H56+I56)/2,2)</f>
        <v>528</v>
      </c>
    </row>
    <row r="57" spans="1:10" ht="9.75" customHeight="1">
      <c r="A57" s="34"/>
      <c r="B57" s="535"/>
      <c r="C57" s="536"/>
      <c r="D57" s="537"/>
      <c r="E57" s="530"/>
      <c r="F57" s="530"/>
      <c r="G57" s="531"/>
      <c r="H57" s="46"/>
      <c r="I57" s="46"/>
      <c r="J57" s="532"/>
    </row>
    <row r="58" spans="1:10" ht="9.75" customHeight="1">
      <c r="A58" s="34"/>
      <c r="B58" s="535"/>
      <c r="C58" s="536"/>
      <c r="D58" s="537"/>
      <c r="E58" s="530"/>
      <c r="F58" s="530"/>
      <c r="G58" s="531"/>
      <c r="H58" s="46"/>
      <c r="I58" s="46"/>
      <c r="J58" s="532"/>
    </row>
    <row r="59" spans="1:10" ht="9.75" customHeight="1">
      <c r="A59" s="34"/>
      <c r="B59" s="535"/>
      <c r="C59" s="536"/>
      <c r="D59" s="537"/>
      <c r="E59" s="530"/>
      <c r="F59" s="530"/>
      <c r="G59" s="531"/>
      <c r="H59" s="46"/>
      <c r="I59" s="400"/>
      <c r="J59" s="599"/>
    </row>
    <row r="60" spans="1:10" ht="9.75" customHeight="1">
      <c r="A60" s="600"/>
      <c r="B60" s="601" t="s">
        <v>182</v>
      </c>
      <c r="C60" s="602"/>
      <c r="D60" s="602"/>
      <c r="E60" s="602"/>
      <c r="F60" s="602"/>
      <c r="G60" s="602"/>
      <c r="H60" s="603"/>
      <c r="I60" s="46"/>
      <c r="J60" s="532"/>
    </row>
    <row r="61" spans="1:10" ht="9.75" customHeight="1">
      <c r="A61" s="34" t="s">
        <v>122</v>
      </c>
      <c r="B61" s="535"/>
      <c r="C61" s="536"/>
      <c r="D61" s="536"/>
      <c r="E61" s="604"/>
      <c r="F61" s="604"/>
      <c r="G61" s="605"/>
      <c r="H61" s="46">
        <v>2300</v>
      </c>
      <c r="I61" s="400">
        <v>2300</v>
      </c>
      <c r="J61" s="538">
        <f>ROUND((H61+I61)/2,2)</f>
        <v>2300</v>
      </c>
    </row>
    <row r="62" spans="1:10" s="48" customFormat="1" ht="9.75" customHeight="1">
      <c r="A62" s="606"/>
      <c r="B62" s="607" t="s">
        <v>126</v>
      </c>
      <c r="C62" s="608"/>
      <c r="D62" s="608"/>
      <c r="E62" s="609"/>
      <c r="F62" s="610"/>
      <c r="G62" s="611"/>
      <c r="H62" s="609">
        <f>SUM(H9:H61)</f>
        <v>46993.65</v>
      </c>
      <c r="I62" s="609">
        <f>SUM(I9:I61)</f>
        <v>47427.170000000006</v>
      </c>
      <c r="J62" s="609">
        <f>SUM(J9:J61)</f>
        <v>47210.46999999999</v>
      </c>
    </row>
    <row r="63" spans="1:10" s="48" customFormat="1" ht="9.75" customHeight="1">
      <c r="A63" s="402"/>
      <c r="B63" s="403"/>
      <c r="C63" s="404"/>
      <c r="D63" s="404"/>
      <c r="E63" s="405"/>
      <c r="F63" s="405"/>
      <c r="G63" s="406"/>
      <c r="H63" s="405"/>
      <c r="I63" s="405"/>
      <c r="J63" s="477"/>
    </row>
    <row r="64" spans="1:9" ht="9.75" customHeight="1">
      <c r="A64" s="272"/>
      <c r="B64" s="273"/>
      <c r="C64" s="274"/>
      <c r="D64" s="274"/>
      <c r="E64" s="275"/>
      <c r="F64" s="275"/>
      <c r="G64" s="276"/>
      <c r="H64" s="277"/>
      <c r="I64" s="53"/>
    </row>
    <row r="65" spans="1:9" ht="9.75" customHeight="1">
      <c r="A65" s="272"/>
      <c r="B65" s="273"/>
      <c r="C65" s="274"/>
      <c r="D65" s="274"/>
      <c r="E65" s="275"/>
      <c r="F65" s="275"/>
      <c r="G65" s="276"/>
      <c r="H65" s="277"/>
      <c r="I65" s="53"/>
    </row>
    <row r="66" spans="1:9" ht="9.75" customHeight="1">
      <c r="A66" s="272"/>
      <c r="B66" s="273"/>
      <c r="C66" s="274"/>
      <c r="D66" s="274"/>
      <c r="E66" s="275"/>
      <c r="F66" s="275"/>
      <c r="G66" s="276"/>
      <c r="H66" s="277"/>
      <c r="I66" s="53"/>
    </row>
    <row r="67" spans="1:9" ht="9.75" customHeight="1">
      <c r="A67" s="272"/>
      <c r="B67" s="273"/>
      <c r="C67" s="274"/>
      <c r="D67" s="274"/>
      <c r="E67" s="275"/>
      <c r="F67" s="275"/>
      <c r="G67" s="276"/>
      <c r="H67" s="277"/>
      <c r="I67" s="53"/>
    </row>
    <row r="68" spans="1:9" ht="9.75" customHeight="1">
      <c r="A68" s="272"/>
      <c r="B68" s="273"/>
      <c r="C68" s="274"/>
      <c r="D68" s="274"/>
      <c r="E68" s="275"/>
      <c r="F68" s="275"/>
      <c r="G68" s="276"/>
      <c r="H68" s="277"/>
      <c r="I68" s="53"/>
    </row>
    <row r="69" spans="1:9" ht="9.75" customHeight="1">
      <c r="A69" s="272"/>
      <c r="B69" s="273"/>
      <c r="C69" s="274"/>
      <c r="D69" s="274"/>
      <c r="E69" s="275"/>
      <c r="F69" s="275"/>
      <c r="G69" s="276"/>
      <c r="H69" s="277"/>
      <c r="I69" s="53"/>
    </row>
    <row r="70" spans="1:9" ht="9.75" customHeight="1">
      <c r="A70" s="90" t="s">
        <v>505</v>
      </c>
      <c r="B70" s="539"/>
      <c r="C70" s="540"/>
      <c r="D70" s="540"/>
      <c r="E70" s="135"/>
      <c r="F70" s="135"/>
      <c r="G70" s="541"/>
      <c r="H70" s="542"/>
      <c r="I70" s="53"/>
    </row>
    <row r="71" spans="1:9" ht="13.5" customHeight="1">
      <c r="A71" s="297" t="s">
        <v>128</v>
      </c>
      <c r="B71" s="648" t="s">
        <v>129</v>
      </c>
      <c r="C71" s="648"/>
      <c r="D71" s="648"/>
      <c r="E71" s="649" t="s">
        <v>130</v>
      </c>
      <c r="F71" s="649"/>
      <c r="G71" s="649"/>
      <c r="H71" s="649"/>
      <c r="I71" s="53"/>
    </row>
    <row r="72" spans="1:9" ht="13.5" customHeight="1">
      <c r="A72" s="301"/>
      <c r="B72" s="302" t="s">
        <v>131</v>
      </c>
      <c r="C72" s="303" t="s">
        <v>132</v>
      </c>
      <c r="D72" s="303" t="s">
        <v>133</v>
      </c>
      <c r="E72" s="543" t="s">
        <v>131</v>
      </c>
      <c r="F72" s="543"/>
      <c r="G72" s="612" t="s">
        <v>132</v>
      </c>
      <c r="H72" s="613" t="s">
        <v>134</v>
      </c>
      <c r="I72" s="53"/>
    </row>
    <row r="73" spans="1:9" ht="12" customHeight="1">
      <c r="A73" s="306"/>
      <c r="B73" s="307"/>
      <c r="C73" s="308">
        <v>0.0061</v>
      </c>
      <c r="D73" s="308">
        <v>0.9939</v>
      </c>
      <c r="E73" s="544"/>
      <c r="F73" s="544"/>
      <c r="G73" s="324">
        <v>0.0037</v>
      </c>
      <c r="H73" s="325">
        <v>0.9963</v>
      </c>
      <c r="I73" s="53"/>
    </row>
    <row r="74" spans="1:9" ht="12" customHeight="1">
      <c r="A74" s="326"/>
      <c r="B74" s="327"/>
      <c r="C74" s="57"/>
      <c r="D74" s="57"/>
      <c r="E74" s="328"/>
      <c r="F74" s="328"/>
      <c r="G74" s="58"/>
      <c r="H74" s="59"/>
      <c r="I74" s="53"/>
    </row>
    <row r="75" spans="1:9" ht="12" customHeight="1">
      <c r="A75" s="545">
        <f>H62</f>
        <v>46993.65</v>
      </c>
      <c r="B75" s="545">
        <f>ROUND(A75*90%,2)-0.01</f>
        <v>42294.28</v>
      </c>
      <c r="C75" s="241">
        <f>ROUND(B75*C73,2)</f>
        <v>258</v>
      </c>
      <c r="D75" s="241">
        <f>ROUND(B75*D73,2)</f>
        <v>42036.28</v>
      </c>
      <c r="E75" s="545">
        <f>ROUND(A75*10%,2)</f>
        <v>4699.37</v>
      </c>
      <c r="F75" s="545"/>
      <c r="G75" s="242">
        <f>ROUND(E75*G73,2)</f>
        <v>17.39</v>
      </c>
      <c r="H75" s="243">
        <f>ROUND(E75*H73,2)</f>
        <v>4681.98</v>
      </c>
      <c r="I75" s="53"/>
    </row>
    <row r="76" spans="1:9" ht="12" customHeight="1">
      <c r="A76" s="546"/>
      <c r="B76" s="547"/>
      <c r="C76" s="60"/>
      <c r="D76" s="60"/>
      <c r="E76" s="548"/>
      <c r="F76" s="548"/>
      <c r="G76" s="61"/>
      <c r="H76" s="62"/>
      <c r="I76" s="53"/>
    </row>
    <row r="77" spans="1:9" ht="13.5" customHeight="1">
      <c r="A77" s="49"/>
      <c r="B77" s="50"/>
      <c r="C77" s="51"/>
      <c r="D77" s="51"/>
      <c r="E77" s="63"/>
      <c r="F77" s="63"/>
      <c r="G77" s="52"/>
      <c r="H77" s="53"/>
      <c r="I77" s="53"/>
    </row>
    <row r="78" spans="1:9" ht="13.5" customHeight="1">
      <c r="A78" s="90" t="s">
        <v>452</v>
      </c>
      <c r="B78" s="539"/>
      <c r="C78" s="540"/>
      <c r="D78" s="540"/>
      <c r="E78" s="135"/>
      <c r="F78" s="135"/>
      <c r="G78" s="541"/>
      <c r="H78" s="542"/>
      <c r="I78" s="53"/>
    </row>
    <row r="79" spans="1:9" ht="13.5" customHeight="1">
      <c r="A79" s="297" t="s">
        <v>128</v>
      </c>
      <c r="B79" s="648" t="s">
        <v>129</v>
      </c>
      <c r="C79" s="648"/>
      <c r="D79" s="648"/>
      <c r="E79" s="649" t="s">
        <v>130</v>
      </c>
      <c r="F79" s="649"/>
      <c r="G79" s="649"/>
      <c r="H79" s="649"/>
      <c r="I79" s="53"/>
    </row>
    <row r="80" spans="1:9" ht="13.5" customHeight="1">
      <c r="A80" s="301"/>
      <c r="B80" s="302" t="s">
        <v>131</v>
      </c>
      <c r="C80" s="303" t="s">
        <v>132</v>
      </c>
      <c r="D80" s="303" t="s">
        <v>133</v>
      </c>
      <c r="E80" s="543" t="s">
        <v>131</v>
      </c>
      <c r="F80" s="543"/>
      <c r="G80" s="612" t="s">
        <v>132</v>
      </c>
      <c r="H80" s="613" t="s">
        <v>134</v>
      </c>
      <c r="I80" s="53"/>
    </row>
    <row r="81" spans="1:9" ht="13.5" customHeight="1">
      <c r="A81" s="306"/>
      <c r="B81" s="307"/>
      <c r="C81" s="308">
        <v>0.0061</v>
      </c>
      <c r="D81" s="308">
        <v>0.9939</v>
      </c>
      <c r="E81" s="544"/>
      <c r="F81" s="544"/>
      <c r="G81" s="324">
        <v>0.0037</v>
      </c>
      <c r="H81" s="325">
        <v>0.9963</v>
      </c>
      <c r="I81" s="53"/>
    </row>
    <row r="82" spans="1:9" ht="13.5" customHeight="1">
      <c r="A82" s="326"/>
      <c r="B82" s="327"/>
      <c r="C82" s="57"/>
      <c r="D82" s="57"/>
      <c r="E82" s="328"/>
      <c r="F82" s="328"/>
      <c r="G82" s="58"/>
      <c r="H82" s="59"/>
      <c r="I82" s="53"/>
    </row>
    <row r="83" spans="1:9" ht="13.5" customHeight="1">
      <c r="A83" s="545">
        <f>E53</f>
        <v>6400</v>
      </c>
      <c r="B83" s="545">
        <f>ROUND(A83*90%,2)</f>
        <v>5760</v>
      </c>
      <c r="C83" s="241">
        <f>ROUND(B83*C81,2)</f>
        <v>35.14</v>
      </c>
      <c r="D83" s="241">
        <f>ROUND(B83*D81,2)</f>
        <v>5724.86</v>
      </c>
      <c r="E83" s="545">
        <f>ROUND(A83*10%,2)</f>
        <v>640</v>
      </c>
      <c r="F83" s="545"/>
      <c r="G83" s="242">
        <f>ROUND(E83*G81,2)</f>
        <v>2.37</v>
      </c>
      <c r="H83" s="243">
        <f>ROUND(E83*H81,2)</f>
        <v>637.63</v>
      </c>
      <c r="I83" s="53"/>
    </row>
    <row r="84" spans="1:9" ht="13.5" customHeight="1">
      <c r="A84" s="546"/>
      <c r="B84" s="547"/>
      <c r="C84" s="60"/>
      <c r="D84" s="60"/>
      <c r="E84" s="548"/>
      <c r="F84" s="548"/>
      <c r="G84" s="61"/>
      <c r="H84" s="62"/>
      <c r="I84" s="53"/>
    </row>
    <row r="85" spans="1:8" ht="12.75">
      <c r="A85" s="90" t="s">
        <v>468</v>
      </c>
      <c r="B85" s="539"/>
      <c r="C85" s="540"/>
      <c r="D85" s="540"/>
      <c r="E85" s="135"/>
      <c r="F85" s="135"/>
      <c r="G85" s="541"/>
      <c r="H85" s="542"/>
    </row>
    <row r="86" spans="1:8" ht="11.25" customHeight="1">
      <c r="A86" s="297" t="s">
        <v>128</v>
      </c>
      <c r="B86" s="648" t="s">
        <v>129</v>
      </c>
      <c r="C86" s="648"/>
      <c r="D86" s="648"/>
      <c r="E86" s="649" t="s">
        <v>130</v>
      </c>
      <c r="F86" s="649"/>
      <c r="G86" s="649"/>
      <c r="H86" s="649"/>
    </row>
    <row r="87" spans="1:8" ht="11.25">
      <c r="A87" s="301"/>
      <c r="B87" s="302" t="s">
        <v>131</v>
      </c>
      <c r="C87" s="303" t="s">
        <v>132</v>
      </c>
      <c r="D87" s="303" t="s">
        <v>133</v>
      </c>
      <c r="E87" s="543" t="s">
        <v>131</v>
      </c>
      <c r="F87" s="543"/>
      <c r="G87" s="612" t="s">
        <v>132</v>
      </c>
      <c r="H87" s="613" t="s">
        <v>134</v>
      </c>
    </row>
    <row r="88" spans="1:8" ht="11.25">
      <c r="A88" s="306"/>
      <c r="B88" s="307"/>
      <c r="C88" s="308">
        <v>0.0061</v>
      </c>
      <c r="D88" s="308">
        <v>0.9939</v>
      </c>
      <c r="E88" s="544"/>
      <c r="F88" s="544"/>
      <c r="G88" s="324">
        <v>0.0037</v>
      </c>
      <c r="H88" s="325">
        <v>0.9963</v>
      </c>
    </row>
    <row r="89" spans="1:8" ht="11.25">
      <c r="A89" s="326"/>
      <c r="B89" s="327"/>
      <c r="C89" s="57"/>
      <c r="D89" s="57"/>
      <c r="E89" s="328"/>
      <c r="F89" s="328"/>
      <c r="G89" s="58"/>
      <c r="H89" s="59"/>
    </row>
    <row r="90" spans="1:8" ht="11.25">
      <c r="A90" s="545">
        <v>2000</v>
      </c>
      <c r="B90" s="545">
        <f>ROUND(A90*90%,2)</f>
        <v>1800</v>
      </c>
      <c r="C90" s="241">
        <f>ROUND(B90*C88,2)</f>
        <v>10.98</v>
      </c>
      <c r="D90" s="241">
        <f>ROUND(B90*D88,2)</f>
        <v>1789.02</v>
      </c>
      <c r="E90" s="545">
        <f>ROUND(A90*10%,2)</f>
        <v>200</v>
      </c>
      <c r="F90" s="545"/>
      <c r="G90" s="242">
        <f>ROUND(E90*G88,2)</f>
        <v>0.74</v>
      </c>
      <c r="H90" s="243">
        <f>ROUND(E90*H88,2)</f>
        <v>199.26</v>
      </c>
    </row>
    <row r="91" spans="1:8" ht="11.25">
      <c r="A91" s="546"/>
      <c r="B91" s="547"/>
      <c r="C91" s="60"/>
      <c r="D91" s="60"/>
      <c r="E91" s="548"/>
      <c r="F91" s="548"/>
      <c r="G91" s="61"/>
      <c r="H91" s="62"/>
    </row>
    <row r="92" spans="1:8" ht="8.25">
      <c r="A92" s="124"/>
      <c r="B92" s="48"/>
      <c r="C92" s="48"/>
      <c r="D92" s="48"/>
      <c r="E92" s="48"/>
      <c r="F92" s="48"/>
      <c r="G92" s="124"/>
      <c r="H92" s="48"/>
    </row>
    <row r="93" spans="1:8" ht="8.25">
      <c r="A93" s="124"/>
      <c r="B93" s="48"/>
      <c r="C93" s="48"/>
      <c r="D93" s="48"/>
      <c r="E93" s="48"/>
      <c r="F93" s="48"/>
      <c r="G93" s="124"/>
      <c r="H93" s="48"/>
    </row>
    <row r="94" spans="1:8" ht="12.75">
      <c r="A94" s="90" t="s">
        <v>501</v>
      </c>
      <c r="B94" s="539"/>
      <c r="C94" s="540"/>
      <c r="D94" s="540"/>
      <c r="E94" s="135"/>
      <c r="F94" s="135"/>
      <c r="G94" s="541"/>
      <c r="H94" s="542"/>
    </row>
    <row r="95" spans="1:8" ht="11.25" customHeight="1">
      <c r="A95" s="297" t="s">
        <v>128</v>
      </c>
      <c r="B95" s="648" t="s">
        <v>129</v>
      </c>
      <c r="C95" s="648"/>
      <c r="D95" s="648"/>
      <c r="E95" s="649" t="s">
        <v>130</v>
      </c>
      <c r="F95" s="649"/>
      <c r="G95" s="649"/>
      <c r="H95" s="649"/>
    </row>
    <row r="96" spans="1:8" ht="11.25">
      <c r="A96" s="301"/>
      <c r="B96" s="302" t="s">
        <v>131</v>
      </c>
      <c r="C96" s="303" t="s">
        <v>132</v>
      </c>
      <c r="D96" s="303" t="s">
        <v>133</v>
      </c>
      <c r="E96" s="543" t="s">
        <v>131</v>
      </c>
      <c r="F96" s="543"/>
      <c r="G96" s="612" t="s">
        <v>132</v>
      </c>
      <c r="H96" s="613" t="s">
        <v>134</v>
      </c>
    </row>
    <row r="97" spans="1:8" ht="11.25">
      <c r="A97" s="306"/>
      <c r="B97" s="307"/>
      <c r="C97" s="308">
        <v>0.0061</v>
      </c>
      <c r="D97" s="308">
        <v>0.9939</v>
      </c>
      <c r="E97" s="544"/>
      <c r="F97" s="544"/>
      <c r="G97" s="324">
        <v>0.0037</v>
      </c>
      <c r="H97" s="325">
        <v>0.9963</v>
      </c>
    </row>
    <row r="98" spans="1:8" ht="11.25">
      <c r="A98" s="326"/>
      <c r="B98" s="327"/>
      <c r="C98" s="57"/>
      <c r="D98" s="57"/>
      <c r="E98" s="328"/>
      <c r="F98" s="328"/>
      <c r="G98" s="58"/>
      <c r="H98" s="59"/>
    </row>
    <row r="99" spans="1:8" ht="11.25">
      <c r="A99" s="545">
        <f>I62</f>
        <v>47427.170000000006</v>
      </c>
      <c r="B99" s="545">
        <f>ROUND(A99*90%,2)</f>
        <v>42684.45</v>
      </c>
      <c r="C99" s="241">
        <f>ROUND(B99*C97,2)</f>
        <v>260.38</v>
      </c>
      <c r="D99" s="241">
        <f>ROUND(B99*D97,2)</f>
        <v>42424.07</v>
      </c>
      <c r="E99" s="545">
        <f>ROUND(A99*10%,2)</f>
        <v>4742.72</v>
      </c>
      <c r="F99" s="545"/>
      <c r="G99" s="242">
        <f>ROUND(E99*G97,2)</f>
        <v>17.55</v>
      </c>
      <c r="H99" s="243">
        <f>ROUND(E99*H97,2)</f>
        <v>4725.17</v>
      </c>
    </row>
    <row r="100" spans="1:8" ht="11.25">
      <c r="A100" s="546"/>
      <c r="B100" s="547"/>
      <c r="C100" s="60"/>
      <c r="D100" s="60"/>
      <c r="E100" s="548"/>
      <c r="F100" s="548"/>
      <c r="G100" s="61"/>
      <c r="H100" s="62"/>
    </row>
    <row r="101" spans="1:8" ht="8.25">
      <c r="A101" s="124"/>
      <c r="B101" s="48"/>
      <c r="C101" s="48"/>
      <c r="D101" s="48"/>
      <c r="E101" s="48"/>
      <c r="F101" s="48"/>
      <c r="G101" s="124"/>
      <c r="H101" s="48"/>
    </row>
    <row r="102" spans="1:8" ht="12.75">
      <c r="A102" s="90" t="s">
        <v>499</v>
      </c>
      <c r="B102" s="539"/>
      <c r="C102" s="540"/>
      <c r="D102" s="540"/>
      <c r="E102" s="135"/>
      <c r="F102" s="135"/>
      <c r="G102" s="541"/>
      <c r="H102" s="542"/>
    </row>
    <row r="103" spans="1:8" ht="11.25" customHeight="1">
      <c r="A103" s="297" t="s">
        <v>128</v>
      </c>
      <c r="B103" s="648" t="s">
        <v>129</v>
      </c>
      <c r="C103" s="648"/>
      <c r="D103" s="648"/>
      <c r="E103" s="649" t="s">
        <v>130</v>
      </c>
      <c r="F103" s="649"/>
      <c r="G103" s="649"/>
      <c r="H103" s="649"/>
    </row>
    <row r="104" spans="1:8" ht="11.25">
      <c r="A104" s="301"/>
      <c r="B104" s="302" t="s">
        <v>131</v>
      </c>
      <c r="C104" s="303" t="s">
        <v>132</v>
      </c>
      <c r="D104" s="303" t="s">
        <v>133</v>
      </c>
      <c r="E104" s="543" t="s">
        <v>131</v>
      </c>
      <c r="F104" s="543"/>
      <c r="G104" s="612" t="s">
        <v>132</v>
      </c>
      <c r="H104" s="613" t="s">
        <v>134</v>
      </c>
    </row>
    <row r="105" spans="1:8" ht="11.25">
      <c r="A105" s="306"/>
      <c r="B105" s="307"/>
      <c r="C105" s="308">
        <v>0.0061</v>
      </c>
      <c r="D105" s="308">
        <v>0.9939</v>
      </c>
      <c r="E105" s="544"/>
      <c r="F105" s="544"/>
      <c r="G105" s="324">
        <v>0.0037</v>
      </c>
      <c r="H105" s="325">
        <v>0.9963</v>
      </c>
    </row>
    <row r="106" spans="1:8" ht="11.25">
      <c r="A106" s="326"/>
      <c r="B106" s="327"/>
      <c r="C106" s="57"/>
      <c r="D106" s="57"/>
      <c r="E106" s="328"/>
      <c r="F106" s="328"/>
      <c r="G106" s="58"/>
      <c r="H106" s="59"/>
    </row>
    <row r="107" spans="1:8" ht="11.25">
      <c r="A107" s="545">
        <f>F53</f>
        <v>6500</v>
      </c>
      <c r="B107" s="545">
        <f>ROUND(A107*90%,2)</f>
        <v>5850</v>
      </c>
      <c r="C107" s="241">
        <f>ROUND(B107*C105,2)-0.01</f>
        <v>35.68</v>
      </c>
      <c r="D107" s="241">
        <f>ROUND(B107*D105,2)</f>
        <v>5814.32</v>
      </c>
      <c r="E107" s="545">
        <f>ROUND(A107*10%,2)</f>
        <v>650</v>
      </c>
      <c r="F107" s="545"/>
      <c r="G107" s="242">
        <f>ROUND(E107*G105,2)</f>
        <v>2.41</v>
      </c>
      <c r="H107" s="243">
        <f>ROUND(E107*H105,2)-0.01</f>
        <v>647.59</v>
      </c>
    </row>
    <row r="108" spans="1:8" ht="11.25">
      <c r="A108" s="546"/>
      <c r="B108" s="547"/>
      <c r="C108" s="60"/>
      <c r="D108" s="60"/>
      <c r="E108" s="548"/>
      <c r="F108" s="548"/>
      <c r="G108" s="61"/>
      <c r="H108" s="62"/>
    </row>
    <row r="109" spans="1:8" ht="8.25">
      <c r="A109" s="124"/>
      <c r="B109" s="48"/>
      <c r="C109" s="48"/>
      <c r="D109" s="48"/>
      <c r="E109" s="48"/>
      <c r="F109" s="48"/>
      <c r="G109" s="124"/>
      <c r="H109" s="48"/>
    </row>
    <row r="110" spans="1:8" ht="12.75">
      <c r="A110" s="90" t="s">
        <v>502</v>
      </c>
      <c r="B110" s="539"/>
      <c r="C110" s="540"/>
      <c r="D110" s="540"/>
      <c r="E110" s="135"/>
      <c r="F110" s="135"/>
      <c r="G110" s="541"/>
      <c r="H110" s="542"/>
    </row>
    <row r="111" spans="1:8" ht="11.25" customHeight="1">
      <c r="A111" s="297" t="s">
        <v>128</v>
      </c>
      <c r="B111" s="648" t="s">
        <v>129</v>
      </c>
      <c r="C111" s="648"/>
      <c r="D111" s="648"/>
      <c r="E111" s="649" t="s">
        <v>130</v>
      </c>
      <c r="F111" s="649"/>
      <c r="G111" s="649"/>
      <c r="H111" s="649"/>
    </row>
    <row r="112" spans="1:8" ht="11.25">
      <c r="A112" s="301"/>
      <c r="B112" s="302" t="s">
        <v>131</v>
      </c>
      <c r="C112" s="303" t="s">
        <v>132</v>
      </c>
      <c r="D112" s="303" t="s">
        <v>133</v>
      </c>
      <c r="E112" s="543" t="s">
        <v>131</v>
      </c>
      <c r="F112" s="543"/>
      <c r="G112" s="612" t="s">
        <v>132</v>
      </c>
      <c r="H112" s="613" t="s">
        <v>134</v>
      </c>
    </row>
    <row r="113" spans="1:8" ht="11.25">
      <c r="A113" s="306"/>
      <c r="B113" s="307"/>
      <c r="C113" s="308">
        <v>0.0061</v>
      </c>
      <c r="D113" s="308">
        <v>0.9939</v>
      </c>
      <c r="E113" s="544"/>
      <c r="F113" s="544"/>
      <c r="G113" s="324">
        <v>0.0037</v>
      </c>
      <c r="H113" s="325">
        <v>0.9963</v>
      </c>
    </row>
    <row r="114" spans="1:8" ht="11.25">
      <c r="A114" s="326"/>
      <c r="B114" s="327"/>
      <c r="C114" s="57"/>
      <c r="D114" s="57"/>
      <c r="E114" s="328"/>
      <c r="F114" s="328"/>
      <c r="G114" s="58"/>
      <c r="H114" s="59"/>
    </row>
    <row r="115" spans="1:8" ht="11.25">
      <c r="A115" s="545">
        <f>J62</f>
        <v>47210.46999999999</v>
      </c>
      <c r="B115" s="545">
        <f>ROUND(A115*90%,2)</f>
        <v>42489.42</v>
      </c>
      <c r="C115" s="241">
        <f>ROUND(B115*C113,2)</f>
        <v>259.19</v>
      </c>
      <c r="D115" s="241">
        <f>ROUND(B115*D113,2)</f>
        <v>42230.23</v>
      </c>
      <c r="E115" s="545">
        <f>ROUND(A115*10%,2)</f>
        <v>4721.05</v>
      </c>
      <c r="F115" s="545"/>
      <c r="G115" s="242">
        <f>ROUND(E115*G113,2)</f>
        <v>17.47</v>
      </c>
      <c r="H115" s="243">
        <f>ROUND(E115*H113,2)</f>
        <v>4703.58</v>
      </c>
    </row>
    <row r="116" spans="1:8" ht="11.25">
      <c r="A116" s="546"/>
      <c r="B116" s="547"/>
      <c r="C116" s="60"/>
      <c r="D116" s="60"/>
      <c r="E116" s="548"/>
      <c r="F116" s="548"/>
      <c r="G116" s="61"/>
      <c r="H116" s="62"/>
    </row>
    <row r="117" spans="1:8" ht="8.25">
      <c r="A117" s="124"/>
      <c r="B117" s="48"/>
      <c r="C117" s="48"/>
      <c r="D117" s="48"/>
      <c r="E117" s="48"/>
      <c r="F117" s="48"/>
      <c r="G117" s="124"/>
      <c r="H117" s="48"/>
    </row>
    <row r="118" spans="1:8" ht="12.75">
      <c r="A118" s="90" t="s">
        <v>500</v>
      </c>
      <c r="B118" s="539"/>
      <c r="C118" s="540"/>
      <c r="D118" s="540"/>
      <c r="E118" s="135"/>
      <c r="F118" s="135"/>
      <c r="G118" s="541"/>
      <c r="H118" s="542"/>
    </row>
    <row r="119" spans="1:8" ht="11.25" customHeight="1">
      <c r="A119" s="297" t="s">
        <v>128</v>
      </c>
      <c r="B119" s="648" t="s">
        <v>129</v>
      </c>
      <c r="C119" s="648"/>
      <c r="D119" s="648"/>
      <c r="E119" s="649" t="s">
        <v>130</v>
      </c>
      <c r="F119" s="649"/>
      <c r="G119" s="649"/>
      <c r="H119" s="649"/>
    </row>
    <row r="120" spans="1:8" ht="11.25">
      <c r="A120" s="301"/>
      <c r="B120" s="302" t="s">
        <v>131</v>
      </c>
      <c r="C120" s="303" t="s">
        <v>132</v>
      </c>
      <c r="D120" s="303" t="s">
        <v>133</v>
      </c>
      <c r="E120" s="543" t="s">
        <v>131</v>
      </c>
      <c r="F120" s="543"/>
      <c r="G120" s="612" t="s">
        <v>132</v>
      </c>
      <c r="H120" s="613" t="s">
        <v>134</v>
      </c>
    </row>
    <row r="121" spans="1:8" ht="11.25">
      <c r="A121" s="306"/>
      <c r="B121" s="307"/>
      <c r="C121" s="308">
        <v>0.0061</v>
      </c>
      <c r="D121" s="308">
        <v>0.9939</v>
      </c>
      <c r="E121" s="544"/>
      <c r="F121" s="544"/>
      <c r="G121" s="324">
        <v>0.0037</v>
      </c>
      <c r="H121" s="325">
        <v>0.9963</v>
      </c>
    </row>
    <row r="122" spans="1:8" ht="11.25">
      <c r="A122" s="326"/>
      <c r="B122" s="327"/>
      <c r="C122" s="57"/>
      <c r="D122" s="57"/>
      <c r="E122" s="328"/>
      <c r="F122" s="328"/>
      <c r="G122" s="58"/>
      <c r="H122" s="59"/>
    </row>
    <row r="123" spans="1:8" ht="11.25">
      <c r="A123" s="545">
        <v>6450</v>
      </c>
      <c r="B123" s="545">
        <f>ROUND(A123*90%,2)</f>
        <v>5805</v>
      </c>
      <c r="C123" s="241">
        <f>ROUND(B123*C121,2)</f>
        <v>35.41</v>
      </c>
      <c r="D123" s="241">
        <f>ROUND(B123*D121,2)</f>
        <v>5769.59</v>
      </c>
      <c r="E123" s="545">
        <f>ROUND(A123*10%,2)</f>
        <v>645</v>
      </c>
      <c r="F123" s="545"/>
      <c r="G123" s="242">
        <f>ROUND(E123*G121,2)</f>
        <v>2.39</v>
      </c>
      <c r="H123" s="243">
        <f>ROUND(E123*H121,2)</f>
        <v>642.61</v>
      </c>
    </row>
    <row r="124" spans="1:8" ht="11.25">
      <c r="A124" s="546"/>
      <c r="B124" s="547"/>
      <c r="C124" s="60"/>
      <c r="D124" s="60"/>
      <c r="E124" s="548"/>
      <c r="F124" s="548"/>
      <c r="G124" s="61"/>
      <c r="H124" s="62"/>
    </row>
  </sheetData>
  <sheetProtection/>
  <mergeCells count="15">
    <mergeCell ref="E103:H103"/>
    <mergeCell ref="B86:D86"/>
    <mergeCell ref="E86:H86"/>
    <mergeCell ref="B119:D119"/>
    <mergeCell ref="E119:H119"/>
    <mergeCell ref="G3:H3"/>
    <mergeCell ref="B71:D71"/>
    <mergeCell ref="E71:H71"/>
    <mergeCell ref="B79:D79"/>
    <mergeCell ref="E79:H79"/>
    <mergeCell ref="B111:D111"/>
    <mergeCell ref="E111:H111"/>
    <mergeCell ref="B95:D95"/>
    <mergeCell ref="E95:H95"/>
    <mergeCell ref="B103:D103"/>
  </mergeCells>
  <printOptions/>
  <pageMargins left="0.7874015748031497" right="0.5905511811023623" top="0.984251968503937" bottom="0.7874015748031497" header="0.5118110236220472" footer="0.5118110236220472"/>
  <pageSetup horizontalDpi="600" verticalDpi="600" orientation="landscape" paperSize="9" scale="70" r:id="rId3"/>
  <headerFooter alignWithMargins="0">
    <oddHeader>&amp;L&amp;"Arial,Standard"Anlage 1 zur  
Kalk.Gebührenbedarfsberechnung 2013+ 2014 lt. BV ........ UA Straßenreinigung</oddHeader>
    <oddFooter>&amp;R&amp;8&amp;D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2:I79"/>
  <sheetViews>
    <sheetView zoomScalePageLayoutView="0" workbookViewId="0" topLeftCell="A61">
      <selection activeCell="I4" sqref="I4"/>
    </sheetView>
  </sheetViews>
  <sheetFormatPr defaultColWidth="10.00390625" defaultRowHeight="12.75"/>
  <cols>
    <col min="1" max="1" width="11.57421875" style="127" customWidth="1"/>
    <col min="2" max="2" width="6.7109375" style="127" customWidth="1"/>
    <col min="3" max="3" width="16.7109375" style="127" customWidth="1"/>
    <col min="4" max="5" width="14.7109375" style="127" customWidth="1"/>
    <col min="6" max="6" width="16.7109375" style="127" customWidth="1"/>
    <col min="7" max="7" width="16.7109375" style="132" customWidth="1"/>
    <col min="8" max="8" width="15.00390625" style="127" customWidth="1"/>
    <col min="9" max="9" width="14.421875" style="127" customWidth="1"/>
    <col min="10" max="16384" width="10.00390625" style="127" customWidth="1"/>
  </cols>
  <sheetData>
    <row r="2" spans="1:9" ht="12" customHeight="1">
      <c r="A2" s="150" t="s">
        <v>440</v>
      </c>
      <c r="B2" s="150"/>
      <c r="I2" s="141"/>
    </row>
    <row r="3" spans="1:9" ht="12" customHeight="1">
      <c r="A3" s="150"/>
      <c r="B3" s="150"/>
      <c r="G3" s="483"/>
      <c r="H3" s="484"/>
      <c r="I3" s="408"/>
    </row>
    <row r="4" spans="3:9" ht="11.25">
      <c r="C4" s="141"/>
      <c r="G4" s="485">
        <v>2013</v>
      </c>
      <c r="H4" s="485">
        <v>2014</v>
      </c>
      <c r="I4" s="482" t="s">
        <v>415</v>
      </c>
    </row>
    <row r="5" spans="1:9" ht="11.25">
      <c r="A5" s="617" t="s">
        <v>453</v>
      </c>
      <c r="B5" s="278" t="s">
        <v>263</v>
      </c>
      <c r="D5" s="139"/>
      <c r="E5" s="139"/>
      <c r="F5" s="140"/>
      <c r="G5" s="618">
        <v>32000</v>
      </c>
      <c r="H5" s="618">
        <v>32000</v>
      </c>
      <c r="I5" s="523">
        <v>32000</v>
      </c>
    </row>
    <row r="6" spans="1:9" ht="11.25">
      <c r="A6" s="137"/>
      <c r="B6" s="129"/>
      <c r="D6" s="129"/>
      <c r="E6" s="129"/>
      <c r="F6" s="133"/>
      <c r="G6" s="336"/>
      <c r="H6" s="408"/>
      <c r="I6" s="449"/>
    </row>
    <row r="7" spans="1:9" ht="11.25">
      <c r="A7" s="137" t="s">
        <v>454</v>
      </c>
      <c r="B7" s="138" t="s">
        <v>55</v>
      </c>
      <c r="D7" s="129"/>
      <c r="E7" s="129"/>
      <c r="F7" s="133"/>
      <c r="G7" s="336">
        <v>5000</v>
      </c>
      <c r="H7" s="336">
        <v>5000</v>
      </c>
      <c r="I7" s="458">
        <v>5000</v>
      </c>
    </row>
    <row r="8" spans="1:9" ht="11.25">
      <c r="A8" s="137"/>
      <c r="B8" s="138"/>
      <c r="D8" s="129"/>
      <c r="E8" s="129"/>
      <c r="F8" s="133"/>
      <c r="G8" s="336"/>
      <c r="H8" s="408"/>
      <c r="I8" s="448"/>
    </row>
    <row r="9" spans="1:9" ht="11.25">
      <c r="A9" s="137" t="s">
        <v>314</v>
      </c>
      <c r="B9" s="138" t="s">
        <v>56</v>
      </c>
      <c r="D9" s="129"/>
      <c r="E9" s="129"/>
      <c r="F9" s="133"/>
      <c r="G9" s="336">
        <v>10500</v>
      </c>
      <c r="H9" s="336">
        <v>10500</v>
      </c>
      <c r="I9" s="458">
        <v>10500</v>
      </c>
    </row>
    <row r="10" spans="1:9" ht="11.25">
      <c r="A10" s="137"/>
      <c r="B10" s="138"/>
      <c r="D10" s="129"/>
      <c r="E10" s="129"/>
      <c r="F10" s="133"/>
      <c r="G10" s="336"/>
      <c r="H10" s="408"/>
      <c r="I10" s="448"/>
    </row>
    <row r="11" spans="1:9" ht="11.25">
      <c r="A11" s="137" t="s">
        <v>315</v>
      </c>
      <c r="B11" s="138" t="s">
        <v>254</v>
      </c>
      <c r="D11" s="129"/>
      <c r="E11" s="129"/>
      <c r="F11" s="133"/>
      <c r="G11" s="336">
        <v>300</v>
      </c>
      <c r="H11" s="336">
        <v>300</v>
      </c>
      <c r="I11" s="458">
        <v>300</v>
      </c>
    </row>
    <row r="12" spans="1:9" ht="11.25">
      <c r="A12" s="137"/>
      <c r="B12" s="138"/>
      <c r="D12" s="129"/>
      <c r="E12" s="129"/>
      <c r="F12" s="133"/>
      <c r="G12" s="336"/>
      <c r="H12" s="336"/>
      <c r="I12" s="458"/>
    </row>
    <row r="13" spans="1:9" ht="11.25">
      <c r="A13" s="137" t="s">
        <v>316</v>
      </c>
      <c r="B13" s="138" t="s">
        <v>255</v>
      </c>
      <c r="D13" s="129"/>
      <c r="E13" s="129"/>
      <c r="F13" s="133"/>
      <c r="G13" s="336">
        <v>600</v>
      </c>
      <c r="H13" s="336">
        <v>600</v>
      </c>
      <c r="I13" s="458">
        <v>600</v>
      </c>
    </row>
    <row r="14" spans="1:9" ht="11.25">
      <c r="A14" s="137"/>
      <c r="B14" s="138"/>
      <c r="D14" s="129"/>
      <c r="E14" s="129"/>
      <c r="F14" s="133"/>
      <c r="G14" s="336"/>
      <c r="H14" s="336"/>
      <c r="I14" s="458"/>
    </row>
    <row r="15" spans="1:9" ht="11.25">
      <c r="A15" s="137" t="s">
        <v>317</v>
      </c>
      <c r="B15" s="138" t="s">
        <v>455</v>
      </c>
      <c r="D15" s="129"/>
      <c r="E15" s="129"/>
      <c r="F15" s="133"/>
      <c r="G15" s="336">
        <v>16000</v>
      </c>
      <c r="H15" s="336">
        <v>16000</v>
      </c>
      <c r="I15" s="458">
        <v>16000</v>
      </c>
    </row>
    <row r="16" spans="1:9" ht="11.25">
      <c r="A16" s="128"/>
      <c r="B16" s="129"/>
      <c r="D16" s="129"/>
      <c r="E16" s="129"/>
      <c r="F16" s="133"/>
      <c r="G16" s="336"/>
      <c r="H16" s="408"/>
      <c r="I16" s="448"/>
    </row>
    <row r="17" spans="1:9" ht="11.25">
      <c r="A17" s="137" t="s">
        <v>305</v>
      </c>
      <c r="B17" s="138" t="s">
        <v>256</v>
      </c>
      <c r="D17" s="129"/>
      <c r="E17" s="129"/>
      <c r="F17" s="133"/>
      <c r="G17" s="336">
        <f>SUM(F22:F52)</f>
        <v>37012.799999999996</v>
      </c>
      <c r="H17" s="336">
        <f>SUM(G22:G52)</f>
        <v>37362.799999999996</v>
      </c>
      <c r="I17" s="458">
        <f>SUM(H22:H52)</f>
        <v>37187.799999999996</v>
      </c>
    </row>
    <row r="18" spans="1:9" ht="11.25">
      <c r="A18" s="137"/>
      <c r="B18" s="130"/>
      <c r="C18" s="138"/>
      <c r="D18" s="129"/>
      <c r="E18" s="129"/>
      <c r="F18" s="133"/>
      <c r="G18" s="486"/>
      <c r="H18" s="409"/>
      <c r="I18" s="459"/>
    </row>
    <row r="19" spans="1:8" ht="13.5" customHeight="1">
      <c r="A19" s="329" t="s">
        <v>338</v>
      </c>
      <c r="B19" s="151"/>
      <c r="C19" s="142" t="s">
        <v>253</v>
      </c>
      <c r="D19" s="407" t="s">
        <v>442</v>
      </c>
      <c r="E19" s="407" t="s">
        <v>443</v>
      </c>
      <c r="F19" s="143" t="s">
        <v>444</v>
      </c>
      <c r="G19" s="143" t="s">
        <v>445</v>
      </c>
      <c r="H19" s="460" t="s">
        <v>441</v>
      </c>
    </row>
    <row r="20" spans="1:8" ht="11.25">
      <c r="A20" s="330" t="s">
        <v>257</v>
      </c>
      <c r="B20" s="331"/>
      <c r="C20" s="331"/>
      <c r="D20" s="332"/>
      <c r="E20" s="332"/>
      <c r="F20" s="333"/>
      <c r="G20" s="333"/>
      <c r="H20" s="448"/>
    </row>
    <row r="21" spans="1:8" ht="11.25">
      <c r="A21" s="334"/>
      <c r="F21" s="335"/>
      <c r="G21" s="335"/>
      <c r="H21" s="448"/>
    </row>
    <row r="22" spans="1:8" ht="11.25">
      <c r="A22" s="128" t="s">
        <v>282</v>
      </c>
      <c r="B22" s="132"/>
      <c r="C22" s="619">
        <v>1120</v>
      </c>
      <c r="D22" s="620">
        <v>22.17</v>
      </c>
      <c r="E22" s="620">
        <v>22.39</v>
      </c>
      <c r="F22" s="376">
        <f>ROUND(C22*D22,2)</f>
        <v>24830.4</v>
      </c>
      <c r="G22" s="376">
        <f>ROUND(C22*E22,2)</f>
        <v>25076.8</v>
      </c>
      <c r="H22" s="449">
        <f>ROUND((F22+G22)/2,2)</f>
        <v>24953.6</v>
      </c>
    </row>
    <row r="23" spans="1:8" ht="11.25">
      <c r="A23" s="128"/>
      <c r="B23" s="129" t="s">
        <v>13</v>
      </c>
      <c r="C23" s="127" t="s">
        <v>9</v>
      </c>
      <c r="D23" s="377">
        <v>0.1</v>
      </c>
      <c r="E23" s="377">
        <v>0.1</v>
      </c>
      <c r="F23" s="376">
        <f>ROUND(F22*D23,2)</f>
        <v>2483.04</v>
      </c>
      <c r="G23" s="376">
        <f>ROUND(G22*E23,2)</f>
        <v>2507.68</v>
      </c>
      <c r="H23" s="449">
        <f>ROUND((F23+G23)/2,2)</f>
        <v>2495.36</v>
      </c>
    </row>
    <row r="24" spans="1:8" ht="11.25">
      <c r="A24" s="128"/>
      <c r="C24" s="129" t="s">
        <v>10</v>
      </c>
      <c r="D24" s="378">
        <v>0.15</v>
      </c>
      <c r="E24" s="378">
        <v>0.15</v>
      </c>
      <c r="F24" s="376">
        <f>ROUND(F22*D24,2)</f>
        <v>3724.56</v>
      </c>
      <c r="G24" s="376">
        <f>ROUND(G22*E24,2)</f>
        <v>3761.52</v>
      </c>
      <c r="H24" s="449">
        <f>ROUND((F24+G24)/2,2)</f>
        <v>3743.04</v>
      </c>
    </row>
    <row r="25" spans="1:8" ht="11.25">
      <c r="A25" s="128"/>
      <c r="D25" s="133"/>
      <c r="E25" s="133"/>
      <c r="F25" s="336"/>
      <c r="G25" s="336"/>
      <c r="H25" s="449"/>
    </row>
    <row r="26" spans="1:8" ht="11.25">
      <c r="A26" s="128"/>
      <c r="D26" s="379"/>
      <c r="E26" s="379"/>
      <c r="F26" s="131"/>
      <c r="G26" s="131"/>
      <c r="H26" s="461"/>
    </row>
    <row r="27" spans="1:8" ht="11.25">
      <c r="A27" s="330" t="s">
        <v>360</v>
      </c>
      <c r="B27" s="331"/>
      <c r="C27" s="331"/>
      <c r="D27" s="332"/>
      <c r="E27" s="332"/>
      <c r="F27" s="333"/>
      <c r="G27" s="333"/>
      <c r="H27" s="449"/>
    </row>
    <row r="28" spans="1:8" ht="11.25">
      <c r="A28" s="337"/>
      <c r="B28" s="338"/>
      <c r="C28" s="338"/>
      <c r="D28" s="380"/>
      <c r="E28" s="380"/>
      <c r="F28" s="381"/>
      <c r="G28" s="381"/>
      <c r="H28" s="449"/>
    </row>
    <row r="29" spans="1:8" ht="11.25">
      <c r="A29" s="128" t="s">
        <v>283</v>
      </c>
      <c r="B29" s="132"/>
      <c r="C29" s="619">
        <v>50</v>
      </c>
      <c r="D29" s="620">
        <v>24.3</v>
      </c>
      <c r="E29" s="620">
        <v>24.54</v>
      </c>
      <c r="F29" s="376">
        <f>ROUND(C29*D29,2)</f>
        <v>1215</v>
      </c>
      <c r="G29" s="376">
        <f>ROUND(C29*E29,2)</f>
        <v>1227</v>
      </c>
      <c r="H29" s="449">
        <f>ROUND((F29+G29)/2,2)</f>
        <v>1221</v>
      </c>
    </row>
    <row r="30" spans="1:8" ht="11.25">
      <c r="A30" s="128"/>
      <c r="B30" s="129" t="s">
        <v>13</v>
      </c>
      <c r="C30" s="127" t="s">
        <v>9</v>
      </c>
      <c r="D30" s="377">
        <v>0.1</v>
      </c>
      <c r="E30" s="377">
        <v>0.1</v>
      </c>
      <c r="F30" s="376">
        <f>ROUND(F29*D30,2)</f>
        <v>121.5</v>
      </c>
      <c r="G30" s="376">
        <f>ROUND(G29*E30,2)</f>
        <v>122.7</v>
      </c>
      <c r="H30" s="449">
        <f>ROUND((F30+G30)/2,2)</f>
        <v>122.1</v>
      </c>
    </row>
    <row r="31" spans="1:8" ht="11.25">
      <c r="A31" s="128"/>
      <c r="C31" s="129" t="s">
        <v>10</v>
      </c>
      <c r="D31" s="378">
        <v>0.15</v>
      </c>
      <c r="E31" s="378">
        <v>0.15</v>
      </c>
      <c r="F31" s="376">
        <f>ROUND(F29*D31,2)</f>
        <v>182.25</v>
      </c>
      <c r="G31" s="376">
        <f>ROUND(G29*E31,2)</f>
        <v>184.05</v>
      </c>
      <c r="H31" s="449">
        <f>ROUND((F31+G31)/2,2)</f>
        <v>183.15</v>
      </c>
    </row>
    <row r="32" spans="1:8" ht="11.25">
      <c r="A32" s="128"/>
      <c r="D32" s="133"/>
      <c r="E32" s="133"/>
      <c r="F32" s="336"/>
      <c r="G32" s="336"/>
      <c r="H32" s="461"/>
    </row>
    <row r="33" spans="1:8" ht="11.25">
      <c r="A33" s="330" t="s">
        <v>361</v>
      </c>
      <c r="B33" s="331"/>
      <c r="C33" s="331"/>
      <c r="D33" s="332"/>
      <c r="E33" s="332"/>
      <c r="F33" s="333"/>
      <c r="G33" s="333"/>
      <c r="H33" s="449"/>
    </row>
    <row r="34" spans="1:8" ht="11.25">
      <c r="A34" s="337"/>
      <c r="B34" s="338"/>
      <c r="C34" s="338"/>
      <c r="D34" s="380"/>
      <c r="E34" s="380"/>
      <c r="F34" s="381"/>
      <c r="G34" s="381"/>
      <c r="H34" s="449"/>
    </row>
    <row r="35" spans="1:8" ht="11.25">
      <c r="A35" s="128"/>
      <c r="B35" s="127">
        <v>430</v>
      </c>
      <c r="C35" s="132" t="s">
        <v>60</v>
      </c>
      <c r="D35" s="620">
        <v>1.65</v>
      </c>
      <c r="E35" s="620">
        <v>1.65</v>
      </c>
      <c r="F35" s="376">
        <f>B35*D35</f>
        <v>709.5</v>
      </c>
      <c r="G35" s="376">
        <f>B35*E35</f>
        <v>709.5</v>
      </c>
      <c r="H35" s="449">
        <f>ROUND((F35+G35)/2,2)</f>
        <v>709.5</v>
      </c>
    </row>
    <row r="36" spans="1:8" ht="11.25">
      <c r="A36" s="128"/>
      <c r="B36" s="129"/>
      <c r="D36" s="377"/>
      <c r="E36" s="377"/>
      <c r="F36" s="376"/>
      <c r="G36" s="376"/>
      <c r="H36" s="449"/>
    </row>
    <row r="37" spans="1:8" ht="11.25">
      <c r="A37" s="137" t="s">
        <v>258</v>
      </c>
      <c r="B37" s="129"/>
      <c r="D37" s="377"/>
      <c r="E37" s="377"/>
      <c r="F37" s="376"/>
      <c r="G37" s="376"/>
      <c r="H37" s="449"/>
    </row>
    <row r="38" spans="1:8" ht="11.25">
      <c r="A38" s="330" t="s">
        <v>259</v>
      </c>
      <c r="B38" s="331"/>
      <c r="C38" s="331"/>
      <c r="D38" s="348"/>
      <c r="E38" s="348"/>
      <c r="F38" s="349"/>
      <c r="G38" s="349"/>
      <c r="H38" s="449"/>
    </row>
    <row r="39" spans="1:8" ht="11.25">
      <c r="A39" s="334"/>
      <c r="F39" s="335"/>
      <c r="G39" s="335"/>
      <c r="H39" s="461"/>
    </row>
    <row r="40" spans="1:8" ht="11.25">
      <c r="A40" s="128" t="s">
        <v>283</v>
      </c>
      <c r="B40" s="132"/>
      <c r="C40" s="619">
        <v>90</v>
      </c>
      <c r="D40" s="620">
        <v>24.3</v>
      </c>
      <c r="E40" s="620">
        <v>24.54</v>
      </c>
      <c r="F40" s="376">
        <f>ROUND(C40*D40,2)</f>
        <v>2187</v>
      </c>
      <c r="G40" s="376">
        <f>ROUND(C40*E40,2)</f>
        <v>2208.6</v>
      </c>
      <c r="H40" s="449">
        <f>ROUND((F40+G40)/2,2)</f>
        <v>2197.8</v>
      </c>
    </row>
    <row r="41" spans="1:8" ht="11.25">
      <c r="A41" s="128"/>
      <c r="B41" s="129" t="s">
        <v>13</v>
      </c>
      <c r="C41" s="127" t="s">
        <v>9</v>
      </c>
      <c r="D41" s="377">
        <v>0.1</v>
      </c>
      <c r="E41" s="377">
        <v>0.1</v>
      </c>
      <c r="F41" s="376">
        <f>ROUND(F40*D41,2)</f>
        <v>218.7</v>
      </c>
      <c r="G41" s="376">
        <f>ROUND(G40*E41,2)</f>
        <v>220.86</v>
      </c>
      <c r="H41" s="449">
        <f>ROUND((F41+G41)/2,2)</f>
        <v>219.78</v>
      </c>
    </row>
    <row r="42" spans="1:8" ht="11.25">
      <c r="A42" s="128"/>
      <c r="C42" s="129" t="s">
        <v>10</v>
      </c>
      <c r="D42" s="378">
        <v>0.15</v>
      </c>
      <c r="E42" s="378">
        <v>0.15</v>
      </c>
      <c r="F42" s="376">
        <f>ROUND(F40*D42,2)</f>
        <v>328.05</v>
      </c>
      <c r="G42" s="376">
        <f>ROUND(G40*E42,2)</f>
        <v>331.29</v>
      </c>
      <c r="H42" s="449">
        <f>ROUND((F42+G42)/2,2)</f>
        <v>329.67</v>
      </c>
    </row>
    <row r="43" spans="1:8" ht="11.25">
      <c r="A43" s="339"/>
      <c r="B43" s="141"/>
      <c r="C43" s="340"/>
      <c r="D43" s="410"/>
      <c r="E43" s="410"/>
      <c r="F43" s="411"/>
      <c r="G43" s="411"/>
      <c r="H43" s="459"/>
    </row>
    <row r="44" spans="3:8" ht="11.25">
      <c r="C44" s="129"/>
      <c r="D44" s="378"/>
      <c r="E44" s="378"/>
      <c r="F44" s="133"/>
      <c r="G44" s="133"/>
      <c r="H44" s="447"/>
    </row>
    <row r="45" spans="3:8" ht="11.25">
      <c r="C45" s="129"/>
      <c r="D45" s="378"/>
      <c r="E45" s="378"/>
      <c r="F45" s="133"/>
      <c r="G45" s="133"/>
      <c r="H45" s="447"/>
    </row>
    <row r="46" spans="1:8" ht="11.25">
      <c r="A46" s="141"/>
      <c r="B46" s="141"/>
      <c r="C46" s="141"/>
      <c r="D46" s="412"/>
      <c r="E46" s="412"/>
      <c r="F46" s="413"/>
      <c r="G46" s="413"/>
      <c r="H46" s="451"/>
    </row>
    <row r="47" spans="1:8" ht="11.25">
      <c r="A47" s="330" t="s">
        <v>292</v>
      </c>
      <c r="B47" s="331"/>
      <c r="C47" s="331"/>
      <c r="D47" s="332"/>
      <c r="E47" s="332"/>
      <c r="F47" s="333"/>
      <c r="G47" s="333"/>
      <c r="H47" s="452"/>
    </row>
    <row r="48" spans="1:8" ht="11.25">
      <c r="A48" s="128"/>
      <c r="D48" s="133"/>
      <c r="E48" s="133"/>
      <c r="F48" s="336"/>
      <c r="G48" s="336"/>
      <c r="H48" s="453"/>
    </row>
    <row r="49" spans="1:8" ht="11.25">
      <c r="A49" s="621" t="s">
        <v>467</v>
      </c>
      <c r="C49" s="622">
        <v>30</v>
      </c>
      <c r="D49" s="620">
        <v>10.69</v>
      </c>
      <c r="E49" s="620">
        <v>10.69</v>
      </c>
      <c r="F49" s="376">
        <f>ROUND(C49*D49,2)</f>
        <v>320.7</v>
      </c>
      <c r="G49" s="376">
        <f>ROUND(C49*E49,2)</f>
        <v>320.7</v>
      </c>
      <c r="H49" s="453">
        <f>ROUND((F49+G49)/2,2)</f>
        <v>320.7</v>
      </c>
    </row>
    <row r="50" spans="1:8" ht="11.25">
      <c r="A50" s="621" t="s">
        <v>465</v>
      </c>
      <c r="C50" s="622">
        <v>30</v>
      </c>
      <c r="D50" s="620">
        <v>16.42</v>
      </c>
      <c r="E50" s="620">
        <v>16.42</v>
      </c>
      <c r="F50" s="376">
        <f>ROUND(C50*D50,2)</f>
        <v>492.6</v>
      </c>
      <c r="G50" s="376">
        <f>ROUND(C50*E50,2)</f>
        <v>492.6</v>
      </c>
      <c r="H50" s="453">
        <f>ROUND((F50+G50)/2,2)</f>
        <v>492.6</v>
      </c>
    </row>
    <row r="51" spans="1:8" ht="11.25">
      <c r="A51" s="621" t="s">
        <v>466</v>
      </c>
      <c r="C51" s="622">
        <v>10</v>
      </c>
      <c r="D51" s="620">
        <v>19.95</v>
      </c>
      <c r="E51" s="620">
        <v>19.95</v>
      </c>
      <c r="F51" s="376">
        <f>ROUND(C51*D51,2)</f>
        <v>199.5</v>
      </c>
      <c r="G51" s="376">
        <f>ROUND(C51*E51,2)</f>
        <v>199.5</v>
      </c>
      <c r="H51" s="453">
        <f>ROUND((F51+G51)/2,2)</f>
        <v>199.5</v>
      </c>
    </row>
    <row r="52" spans="1:8" ht="11.25">
      <c r="A52" s="339"/>
      <c r="B52" s="340"/>
      <c r="C52" s="340"/>
      <c r="D52" s="141"/>
      <c r="E52" s="141"/>
      <c r="F52" s="341"/>
      <c r="G52" s="341"/>
      <c r="H52" s="450"/>
    </row>
    <row r="53" spans="1:9" ht="11.25">
      <c r="A53" s="339"/>
      <c r="B53" s="141"/>
      <c r="C53" s="340"/>
      <c r="D53" s="340"/>
      <c r="E53" s="340"/>
      <c r="F53" s="342"/>
      <c r="G53" s="342"/>
      <c r="H53" s="151"/>
      <c r="I53" s="457"/>
    </row>
    <row r="54" spans="1:9" ht="16.5" customHeight="1">
      <c r="A54" s="343" t="s">
        <v>446</v>
      </c>
      <c r="B54" s="344"/>
      <c r="C54" s="345"/>
      <c r="D54" s="345"/>
      <c r="E54" s="345"/>
      <c r="F54" s="346">
        <f>SUM(G5:G17)</f>
        <v>101412.79999999999</v>
      </c>
      <c r="G54" s="346">
        <f>SUM(H5:H17)</f>
        <v>101762.79999999999</v>
      </c>
      <c r="H54" s="346">
        <f>SUM(I5:I17)</f>
        <v>101587.79999999999</v>
      </c>
      <c r="I54" s="346">
        <f>SUM(I5:I17)</f>
        <v>101587.79999999999</v>
      </c>
    </row>
    <row r="55" ht="24" customHeight="1"/>
    <row r="56" spans="1:9" ht="12.75">
      <c r="A56" s="90" t="s">
        <v>447</v>
      </c>
      <c r="B56" s="152"/>
      <c r="C56" s="134"/>
      <c r="D56" s="134"/>
      <c r="E56" s="134"/>
      <c r="F56" s="135"/>
      <c r="G56" s="136"/>
      <c r="I56" s="53"/>
    </row>
    <row r="57" spans="1:9" ht="32.25" customHeight="1">
      <c r="A57" s="654" t="s">
        <v>128</v>
      </c>
      <c r="B57" s="655"/>
      <c r="C57" s="144" t="s">
        <v>260</v>
      </c>
      <c r="D57" s="144" t="s">
        <v>261</v>
      </c>
      <c r="E57" s="144"/>
      <c r="F57" s="145" t="s">
        <v>262</v>
      </c>
      <c r="G57" s="146" t="s">
        <v>98</v>
      </c>
      <c r="I57" s="53"/>
    </row>
    <row r="58" spans="1:9" ht="12.75" customHeight="1">
      <c r="A58" s="656"/>
      <c r="B58" s="657"/>
      <c r="C58" s="147" t="s">
        <v>160</v>
      </c>
      <c r="D58" s="147" t="s">
        <v>161</v>
      </c>
      <c r="E58" s="147"/>
      <c r="F58" s="148" t="s">
        <v>172</v>
      </c>
      <c r="G58" s="149" t="s">
        <v>173</v>
      </c>
      <c r="I58" s="53"/>
    </row>
    <row r="59" spans="1:7" ht="11.25">
      <c r="A59" s="658"/>
      <c r="B59" s="659"/>
      <c r="C59" s="308">
        <v>0.7589</v>
      </c>
      <c r="D59" s="308">
        <v>0.1429</v>
      </c>
      <c r="E59" s="308"/>
      <c r="F59" s="324">
        <v>0.0759</v>
      </c>
      <c r="G59" s="325">
        <v>0.0223</v>
      </c>
    </row>
    <row r="60" spans="1:7" ht="11.25">
      <c r="A60" s="660"/>
      <c r="B60" s="661"/>
      <c r="C60" s="57"/>
      <c r="D60" s="57"/>
      <c r="E60" s="57"/>
      <c r="F60" s="58"/>
      <c r="G60" s="59"/>
    </row>
    <row r="61" spans="1:7" ht="11.25">
      <c r="A61" s="650">
        <f>F54</f>
        <v>101412.79999999999</v>
      </c>
      <c r="B61" s="651"/>
      <c r="C61" s="241">
        <f>ROUND(A61*C59,2)</f>
        <v>76962.17</v>
      </c>
      <c r="D61" s="241">
        <f>ROUND(A61*D59,2)</f>
        <v>14491.89</v>
      </c>
      <c r="E61" s="241"/>
      <c r="F61" s="242">
        <f>ROUND(A61*F59,2)</f>
        <v>7697.23</v>
      </c>
      <c r="G61" s="243">
        <f>ROUND(A61*G59,2)</f>
        <v>2261.51</v>
      </c>
    </row>
    <row r="62" spans="1:7" ht="11.25">
      <c r="A62" s="652"/>
      <c r="B62" s="653"/>
      <c r="C62" s="60"/>
      <c r="D62" s="60"/>
      <c r="E62" s="60"/>
      <c r="F62" s="61"/>
      <c r="G62" s="62"/>
    </row>
    <row r="63" spans="1:9" ht="11.25">
      <c r="A63" s="49"/>
      <c r="B63" s="49"/>
      <c r="C63" s="50"/>
      <c r="D63" s="51"/>
      <c r="E63" s="51"/>
      <c r="F63" s="51"/>
      <c r="G63" s="63"/>
      <c r="H63" s="52"/>
      <c r="I63" s="53"/>
    </row>
    <row r="64" spans="1:9" ht="11.25" customHeight="1">
      <c r="A64" s="90" t="s">
        <v>448</v>
      </c>
      <c r="B64" s="152"/>
      <c r="C64" s="134"/>
      <c r="D64" s="134"/>
      <c r="E64" s="134"/>
      <c r="F64" s="135"/>
      <c r="G64" s="136"/>
      <c r="H64" s="52"/>
      <c r="I64" s="53"/>
    </row>
    <row r="65" spans="1:9" ht="32.25" customHeight="1">
      <c r="A65" s="654" t="s">
        <v>128</v>
      </c>
      <c r="B65" s="655"/>
      <c r="C65" s="144" t="s">
        <v>260</v>
      </c>
      <c r="D65" s="144" t="s">
        <v>261</v>
      </c>
      <c r="E65" s="144"/>
      <c r="F65" s="145" t="s">
        <v>262</v>
      </c>
      <c r="G65" s="146" t="s">
        <v>98</v>
      </c>
      <c r="H65" s="52"/>
      <c r="I65" s="53"/>
    </row>
    <row r="66" spans="1:9" ht="12.75">
      <c r="A66" s="656"/>
      <c r="B66" s="657"/>
      <c r="C66" s="147" t="s">
        <v>160</v>
      </c>
      <c r="D66" s="147" t="s">
        <v>161</v>
      </c>
      <c r="E66" s="147"/>
      <c r="F66" s="148" t="s">
        <v>172</v>
      </c>
      <c r="G66" s="149" t="s">
        <v>173</v>
      </c>
      <c r="H66" s="52"/>
      <c r="I66" s="53"/>
    </row>
    <row r="67" spans="1:9" ht="11.25">
      <c r="A67" s="658"/>
      <c r="B67" s="659"/>
      <c r="C67" s="308">
        <v>0.7589</v>
      </c>
      <c r="D67" s="308">
        <v>0.1429</v>
      </c>
      <c r="E67" s="308"/>
      <c r="F67" s="324">
        <v>0.0759</v>
      </c>
      <c r="G67" s="325">
        <v>0.0223</v>
      </c>
      <c r="H67" s="52"/>
      <c r="I67" s="53"/>
    </row>
    <row r="68" spans="1:9" ht="11.25">
      <c r="A68" s="660"/>
      <c r="B68" s="661"/>
      <c r="C68" s="57"/>
      <c r="D68" s="57"/>
      <c r="E68" s="57"/>
      <c r="F68" s="58"/>
      <c r="G68" s="59"/>
      <c r="H68" s="52"/>
      <c r="I68" s="53"/>
    </row>
    <row r="69" spans="1:9" ht="11.25">
      <c r="A69" s="650">
        <f>G54</f>
        <v>101762.79999999999</v>
      </c>
      <c r="B69" s="651"/>
      <c r="C69" s="241">
        <f>ROUND(A69*C67,2)</f>
        <v>77227.79</v>
      </c>
      <c r="D69" s="241">
        <f>ROUND(A69*D67,2)</f>
        <v>14541.9</v>
      </c>
      <c r="E69" s="241"/>
      <c r="F69" s="242">
        <f>ROUND(A69*F67,2)</f>
        <v>7723.8</v>
      </c>
      <c r="G69" s="243">
        <f>ROUND(A69*G67,2)</f>
        <v>2269.31</v>
      </c>
      <c r="H69" s="52"/>
      <c r="I69" s="53"/>
    </row>
    <row r="70" spans="1:9" ht="11.25">
      <c r="A70" s="652"/>
      <c r="B70" s="653"/>
      <c r="C70" s="60"/>
      <c r="D70" s="60"/>
      <c r="E70" s="60"/>
      <c r="F70" s="61"/>
      <c r="G70" s="62"/>
      <c r="H70" s="52"/>
      <c r="I70" s="53"/>
    </row>
    <row r="71" spans="1:9" ht="11.25">
      <c r="A71" s="454"/>
      <c r="B71" s="454"/>
      <c r="C71" s="42"/>
      <c r="D71" s="42"/>
      <c r="E71" s="42"/>
      <c r="F71" s="455"/>
      <c r="G71" s="456"/>
      <c r="H71" s="52"/>
      <c r="I71" s="53"/>
    </row>
    <row r="72" spans="1:9" ht="12.75">
      <c r="A72" s="90" t="s">
        <v>449</v>
      </c>
      <c r="B72" s="152"/>
      <c r="C72" s="134"/>
      <c r="D72" s="134"/>
      <c r="E72" s="134"/>
      <c r="F72" s="135"/>
      <c r="G72" s="136"/>
      <c r="H72" s="52"/>
      <c r="I72" s="53"/>
    </row>
    <row r="73" spans="1:9" ht="33.75">
      <c r="A73" s="666" t="s">
        <v>128</v>
      </c>
      <c r="B73" s="667"/>
      <c r="C73" s="462" t="s">
        <v>260</v>
      </c>
      <c r="D73" s="462" t="s">
        <v>261</v>
      </c>
      <c r="E73" s="462"/>
      <c r="F73" s="463" t="s">
        <v>262</v>
      </c>
      <c r="G73" s="464" t="s">
        <v>98</v>
      </c>
      <c r="H73" s="52"/>
      <c r="I73" s="53"/>
    </row>
    <row r="74" spans="1:9" ht="12.75">
      <c r="A74" s="668"/>
      <c r="B74" s="669"/>
      <c r="C74" s="465" t="s">
        <v>160</v>
      </c>
      <c r="D74" s="465" t="s">
        <v>161</v>
      </c>
      <c r="E74" s="465"/>
      <c r="F74" s="466" t="s">
        <v>172</v>
      </c>
      <c r="G74" s="467" t="s">
        <v>173</v>
      </c>
      <c r="H74" s="52"/>
      <c r="I74" s="53"/>
    </row>
    <row r="75" spans="1:9" ht="11.25">
      <c r="A75" s="670"/>
      <c r="B75" s="671"/>
      <c r="C75" s="468">
        <v>0.7589</v>
      </c>
      <c r="D75" s="468">
        <v>0.1429</v>
      </c>
      <c r="E75" s="468"/>
      <c r="F75" s="469">
        <v>0.0759</v>
      </c>
      <c r="G75" s="470">
        <v>0.0223</v>
      </c>
      <c r="H75" s="52"/>
      <c r="I75" s="53"/>
    </row>
    <row r="76" spans="1:9" ht="11.25">
      <c r="A76" s="672"/>
      <c r="B76" s="673"/>
      <c r="C76" s="471"/>
      <c r="D76" s="471"/>
      <c r="E76" s="471"/>
      <c r="F76" s="472"/>
      <c r="G76" s="473"/>
      <c r="H76" s="52"/>
      <c r="I76" s="53"/>
    </row>
    <row r="77" spans="1:9" ht="11.25">
      <c r="A77" s="662">
        <f>H54</f>
        <v>101587.79999999999</v>
      </c>
      <c r="B77" s="663"/>
      <c r="C77" s="241">
        <f>ROUND(A77*C75,2)+0.01</f>
        <v>77094.98999999999</v>
      </c>
      <c r="D77" s="241">
        <f>ROUND(A77*D75,2)</f>
        <v>14516.9</v>
      </c>
      <c r="E77" s="241"/>
      <c r="F77" s="242">
        <f>ROUND(A77*F75,2)</f>
        <v>7710.51</v>
      </c>
      <c r="G77" s="243">
        <f>ROUND(A77*G75,2)</f>
        <v>2265.41</v>
      </c>
      <c r="H77" s="52"/>
      <c r="I77" s="53"/>
    </row>
    <row r="78" spans="1:9" ht="11.25">
      <c r="A78" s="664"/>
      <c r="B78" s="665"/>
      <c r="C78" s="474"/>
      <c r="D78" s="474"/>
      <c r="E78" s="474"/>
      <c r="F78" s="475"/>
      <c r="G78" s="476"/>
      <c r="H78" s="52"/>
      <c r="I78" s="53"/>
    </row>
    <row r="79" spans="1:9" ht="11.25">
      <c r="A79" s="18" t="s">
        <v>185</v>
      </c>
      <c r="B79" s="18"/>
      <c r="C79" s="64"/>
      <c r="D79" s="51"/>
      <c r="E79" s="51"/>
      <c r="F79" s="51"/>
      <c r="G79" s="63"/>
      <c r="H79" s="52"/>
      <c r="I79" s="53"/>
    </row>
  </sheetData>
  <sheetProtection/>
  <mergeCells count="18">
    <mergeCell ref="A77:B77"/>
    <mergeCell ref="A78:B78"/>
    <mergeCell ref="A73:B73"/>
    <mergeCell ref="A74:B74"/>
    <mergeCell ref="A75:B75"/>
    <mergeCell ref="A76:B76"/>
    <mergeCell ref="A61:B61"/>
    <mergeCell ref="A62:B62"/>
    <mergeCell ref="A57:B57"/>
    <mergeCell ref="A58:B58"/>
    <mergeCell ref="A59:B59"/>
    <mergeCell ref="A60:B60"/>
    <mergeCell ref="A69:B69"/>
    <mergeCell ref="A70:B70"/>
    <mergeCell ref="A65:B65"/>
    <mergeCell ref="A66:B66"/>
    <mergeCell ref="A67:B67"/>
    <mergeCell ref="A68:B68"/>
  </mergeCells>
  <printOptions/>
  <pageMargins left="0.7874015748031497" right="0.7874015748031497" top="0.984251968503937" bottom="0.5905511811023623" header="0.7086614173228347" footer="0.5118110236220472"/>
  <pageSetup horizontalDpi="1200" verticalDpi="1200" orientation="landscape" paperSize="9" r:id="rId1"/>
  <headerFooter alignWithMargins="0">
    <oddHeader>&amp;LAnlage 2 zur 
Kalk.Gebührenbedarfsberechnung 2013  + 2014lt. BV ........ UA Straßenreinigung</oddHeader>
    <oddFooter>&amp;R&amp;8 &amp;D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A4">
      <selection activeCell="F52" sqref="F52"/>
    </sheetView>
  </sheetViews>
  <sheetFormatPr defaultColWidth="10.00390625" defaultRowHeight="12.75"/>
  <cols>
    <col min="1" max="1" width="12.7109375" style="2" customWidth="1"/>
    <col min="2" max="6" width="12.7109375" style="1" customWidth="1"/>
    <col min="7" max="7" width="13.57421875" style="1" customWidth="1"/>
    <col min="8" max="16384" width="10.00390625" style="1" customWidth="1"/>
  </cols>
  <sheetData>
    <row r="1" spans="1:7" ht="15" customHeight="1">
      <c r="A1" s="279" t="s">
        <v>135</v>
      </c>
      <c r="B1" s="11"/>
      <c r="C1" s="11"/>
      <c r="D1" s="11"/>
      <c r="E1" s="11"/>
      <c r="F1" s="11"/>
      <c r="G1" s="11"/>
    </row>
    <row r="2" spans="1:7" ht="15" customHeight="1">
      <c r="A2" s="279" t="s">
        <v>136</v>
      </c>
      <c r="B2" s="11"/>
      <c r="C2" s="11"/>
      <c r="D2" s="11"/>
      <c r="E2" s="8"/>
      <c r="F2" s="11"/>
      <c r="G2" s="11"/>
    </row>
    <row r="3" spans="1:7" ht="15" customHeight="1">
      <c r="A3" s="280" t="s">
        <v>137</v>
      </c>
      <c r="B3" s="11"/>
      <c r="C3" s="11"/>
      <c r="D3" s="11"/>
      <c r="E3" s="8"/>
      <c r="F3" s="11"/>
      <c r="G3" s="11"/>
    </row>
    <row r="4" spans="1:7" ht="9.75" customHeight="1">
      <c r="A4" s="173"/>
      <c r="B4" s="11"/>
      <c r="C4" s="11"/>
      <c r="D4" s="11"/>
      <c r="E4" s="11"/>
      <c r="F4" s="11"/>
      <c r="G4" s="11"/>
    </row>
    <row r="5" spans="1:7" ht="12.75" customHeight="1">
      <c r="A5" s="22" t="s">
        <v>138</v>
      </c>
      <c r="B5" s="646" t="s">
        <v>139</v>
      </c>
      <c r="C5" s="674"/>
      <c r="D5" s="647"/>
      <c r="E5" s="22" t="s">
        <v>140</v>
      </c>
      <c r="F5" s="281"/>
      <c r="G5" s="281"/>
    </row>
    <row r="6" spans="1:7" ht="12.75" customHeight="1">
      <c r="A6" s="26" t="s">
        <v>141</v>
      </c>
      <c r="B6" s="282"/>
      <c r="C6" s="15"/>
      <c r="D6" s="283"/>
      <c r="E6" s="26" t="s">
        <v>142</v>
      </c>
      <c r="F6" s="26" t="s">
        <v>143</v>
      </c>
      <c r="G6" s="26" t="s">
        <v>144</v>
      </c>
    </row>
    <row r="7" spans="1:7" ht="12.75" customHeight="1">
      <c r="A7" s="26"/>
      <c r="B7" s="284"/>
      <c r="C7" s="14"/>
      <c r="D7" s="285"/>
      <c r="E7" s="286"/>
      <c r="F7" s="26" t="s">
        <v>145</v>
      </c>
      <c r="G7" s="26" t="s">
        <v>145</v>
      </c>
    </row>
    <row r="8" spans="1:7" ht="12.75" customHeight="1">
      <c r="A8" s="26"/>
      <c r="B8" s="284"/>
      <c r="C8" s="14"/>
      <c r="D8" s="285"/>
      <c r="E8" s="286"/>
      <c r="F8" s="286"/>
      <c r="G8" s="26"/>
    </row>
    <row r="9" spans="1:7" ht="12.75" customHeight="1">
      <c r="A9" s="26"/>
      <c r="B9" s="284"/>
      <c r="C9" s="14"/>
      <c r="D9" s="285"/>
      <c r="E9" s="286"/>
      <c r="F9" s="45" t="s">
        <v>110</v>
      </c>
      <c r="G9" s="26" t="s">
        <v>110</v>
      </c>
    </row>
    <row r="10" spans="1:7" s="65" customFormat="1" ht="12.75" customHeight="1">
      <c r="A10" s="287"/>
      <c r="B10" s="288" t="s">
        <v>146</v>
      </c>
      <c r="C10" s="289"/>
      <c r="D10" s="290"/>
      <c r="E10" s="287" t="s">
        <v>147</v>
      </c>
      <c r="F10" s="287"/>
      <c r="G10" s="287"/>
    </row>
    <row r="11" spans="1:7" s="66" customFormat="1" ht="12" customHeight="1">
      <c r="A11" s="614">
        <v>373</v>
      </c>
      <c r="B11" s="675" t="s">
        <v>149</v>
      </c>
      <c r="C11" s="676"/>
      <c r="D11" s="677"/>
      <c r="E11" s="351" t="s">
        <v>148</v>
      </c>
      <c r="F11" s="615">
        <v>535.28</v>
      </c>
      <c r="G11" s="615">
        <f>ROUND(5352.86/2*4.5%,2)</f>
        <v>120.44</v>
      </c>
    </row>
    <row r="12" spans="1:7" s="66" customFormat="1" ht="12" customHeight="1">
      <c r="A12" s="614">
        <v>973</v>
      </c>
      <c r="B12" s="675" t="s">
        <v>149</v>
      </c>
      <c r="C12" s="678"/>
      <c r="D12" s="679"/>
      <c r="E12" s="351"/>
      <c r="F12" s="615">
        <v>357</v>
      </c>
      <c r="G12" s="615">
        <f>ROUND(3570/2*4.5%,2)</f>
        <v>80.33</v>
      </c>
    </row>
    <row r="13" spans="1:7" s="66" customFormat="1" ht="12" customHeight="1">
      <c r="A13" s="616">
        <v>3370</v>
      </c>
      <c r="B13" s="675" t="s">
        <v>149</v>
      </c>
      <c r="C13" s="676"/>
      <c r="D13" s="677"/>
      <c r="E13" s="351" t="s">
        <v>148</v>
      </c>
      <c r="F13" s="615">
        <v>238.3</v>
      </c>
      <c r="G13" s="615">
        <f>ROUND(2382.99/2*4.5%,2)</f>
        <v>53.62</v>
      </c>
    </row>
    <row r="14" spans="1:7" s="66" customFormat="1" ht="12" customHeight="1">
      <c r="A14" s="616">
        <v>3951</v>
      </c>
      <c r="B14" s="675" t="s">
        <v>358</v>
      </c>
      <c r="C14" s="676"/>
      <c r="D14" s="677"/>
      <c r="E14" s="351" t="s">
        <v>148</v>
      </c>
      <c r="F14" s="615">
        <v>2483.77</v>
      </c>
      <c r="G14" s="615">
        <f>ROUND(46208.33/2*4.5%,2)</f>
        <v>1039.69</v>
      </c>
    </row>
    <row r="15" spans="1:7" s="66" customFormat="1" ht="12" customHeight="1">
      <c r="A15" s="616">
        <v>4278</v>
      </c>
      <c r="B15" s="675" t="s">
        <v>503</v>
      </c>
      <c r="C15" s="676"/>
      <c r="D15" s="677"/>
      <c r="E15" s="351" t="s">
        <v>148</v>
      </c>
      <c r="F15" s="615">
        <v>70</v>
      </c>
      <c r="G15" s="615">
        <f>ROUND(350/2*4.5%,2)</f>
        <v>7.88</v>
      </c>
    </row>
    <row r="16" spans="1:7" s="66" customFormat="1" ht="12" customHeight="1">
      <c r="A16" s="616">
        <v>4384</v>
      </c>
      <c r="B16" s="675" t="s">
        <v>504</v>
      </c>
      <c r="C16" s="678"/>
      <c r="D16" s="679"/>
      <c r="E16" s="351"/>
      <c r="F16" s="615">
        <v>61.88</v>
      </c>
      <c r="G16" s="615">
        <f>ROUND(309.4/2*4.5%,2)</f>
        <v>6.96</v>
      </c>
    </row>
    <row r="17" spans="1:7" s="66" customFormat="1" ht="12" customHeight="1">
      <c r="A17" s="616">
        <v>4385</v>
      </c>
      <c r="B17" s="675" t="s">
        <v>504</v>
      </c>
      <c r="C17" s="678"/>
      <c r="D17" s="679"/>
      <c r="E17" s="351"/>
      <c r="F17" s="615">
        <v>61.88</v>
      </c>
      <c r="G17" s="615">
        <f>ROUND(309.4/2*4.5%,2)</f>
        <v>6.96</v>
      </c>
    </row>
    <row r="18" spans="1:7" s="66" customFormat="1" ht="12" customHeight="1">
      <c r="A18" s="616">
        <v>4386</v>
      </c>
      <c r="B18" s="675" t="s">
        <v>504</v>
      </c>
      <c r="C18" s="678"/>
      <c r="D18" s="679"/>
      <c r="E18" s="351"/>
      <c r="F18" s="615">
        <v>61.88</v>
      </c>
      <c r="G18" s="615">
        <f>ROUND(309.4/2*4.5%,2)</f>
        <v>6.96</v>
      </c>
    </row>
    <row r="19" spans="1:7" s="66" customFormat="1" ht="12" customHeight="1">
      <c r="A19" s="616"/>
      <c r="B19" s="675"/>
      <c r="C19" s="676"/>
      <c r="D19" s="677"/>
      <c r="E19" s="351"/>
      <c r="F19" s="615"/>
      <c r="G19" s="615"/>
    </row>
    <row r="20" spans="1:7" ht="12" customHeight="1">
      <c r="A20" s="291"/>
      <c r="B20" s="292" t="s">
        <v>126</v>
      </c>
      <c r="C20" s="293"/>
      <c r="D20" s="294"/>
      <c r="E20" s="295"/>
      <c r="F20" s="296">
        <f>SUM(F11:F19)</f>
        <v>3869.9900000000002</v>
      </c>
      <c r="G20" s="296">
        <f>SUM(G11:G19)</f>
        <v>1322.8400000000001</v>
      </c>
    </row>
    <row r="21" spans="1:7" ht="13.5" customHeight="1">
      <c r="A21" s="173"/>
      <c r="B21" s="11"/>
      <c r="C21" s="11"/>
      <c r="D21" s="11"/>
      <c r="E21" s="11"/>
      <c r="F21" s="11"/>
      <c r="G21" s="11"/>
    </row>
    <row r="22" spans="6:7" ht="19.5" customHeight="1">
      <c r="F22" s="11"/>
      <c r="G22" s="11"/>
    </row>
    <row r="23" spans="1:9" ht="13.5" customHeight="1">
      <c r="A23" s="54" t="s">
        <v>127</v>
      </c>
      <c r="B23" s="55"/>
      <c r="C23" s="56"/>
      <c r="D23" s="56"/>
      <c r="E23" s="55"/>
      <c r="F23" s="55"/>
      <c r="G23" s="67"/>
      <c r="H23" s="52"/>
      <c r="I23" s="53"/>
    </row>
    <row r="24" spans="1:9" ht="12.75">
      <c r="A24" s="297"/>
      <c r="B24" s="648" t="s">
        <v>150</v>
      </c>
      <c r="C24" s="648"/>
      <c r="D24" s="648"/>
      <c r="E24" s="298"/>
      <c r="F24" s="299" t="s">
        <v>151</v>
      </c>
      <c r="G24" s="300"/>
      <c r="H24" s="68"/>
      <c r="I24" s="68"/>
    </row>
    <row r="25" spans="1:9" ht="12.75">
      <c r="A25" s="301"/>
      <c r="B25" s="302" t="s">
        <v>131</v>
      </c>
      <c r="C25" s="303" t="s">
        <v>132</v>
      </c>
      <c r="D25" s="303" t="s">
        <v>133</v>
      </c>
      <c r="E25" s="302" t="s">
        <v>131</v>
      </c>
      <c r="F25" s="304" t="s">
        <v>285</v>
      </c>
      <c r="G25" s="305" t="s">
        <v>284</v>
      </c>
      <c r="H25" s="69"/>
      <c r="I25" s="70"/>
    </row>
    <row r="26" spans="1:9" ht="12.75">
      <c r="A26" s="306"/>
      <c r="B26" s="307"/>
      <c r="C26" s="308">
        <v>0.0061</v>
      </c>
      <c r="D26" s="308">
        <v>0.9939</v>
      </c>
      <c r="E26" s="307"/>
      <c r="F26" s="308"/>
      <c r="G26" s="308">
        <v>1</v>
      </c>
      <c r="H26" s="71"/>
      <c r="I26" s="72"/>
    </row>
    <row r="27" spans="1:9" ht="12.75">
      <c r="A27" s="309" t="s">
        <v>49</v>
      </c>
      <c r="B27" s="310"/>
      <c r="C27" s="311"/>
      <c r="D27" s="311"/>
      <c r="E27" s="297"/>
      <c r="F27" s="312"/>
      <c r="G27" s="312"/>
      <c r="H27" s="71"/>
      <c r="I27" s="72"/>
    </row>
    <row r="28" spans="1:9" ht="24" customHeight="1">
      <c r="A28" s="313">
        <f>F20</f>
        <v>3869.9900000000002</v>
      </c>
      <c r="B28" s="314">
        <v>0</v>
      </c>
      <c r="C28" s="315">
        <v>0</v>
      </c>
      <c r="D28" s="315">
        <v>0</v>
      </c>
      <c r="E28" s="316">
        <f>F20</f>
        <v>3869.9900000000002</v>
      </c>
      <c r="F28" s="317">
        <f>ROUND(E28*F26,2)</f>
        <v>0</v>
      </c>
      <c r="G28" s="317">
        <f>ROUND(E28*G26,2)</f>
        <v>3869.99</v>
      </c>
      <c r="H28" s="73"/>
      <c r="I28" s="74"/>
    </row>
    <row r="29" spans="1:9" ht="12.75" customHeight="1">
      <c r="A29" s="309" t="s">
        <v>52</v>
      </c>
      <c r="B29" s="318"/>
      <c r="C29" s="319"/>
      <c r="D29" s="319"/>
      <c r="E29" s="320"/>
      <c r="F29" s="321"/>
      <c r="G29" s="321"/>
      <c r="H29" s="73"/>
      <c r="I29" s="74"/>
    </row>
    <row r="30" spans="1:9" ht="24" customHeight="1">
      <c r="A30" s="313">
        <f>G20</f>
        <v>1322.8400000000001</v>
      </c>
      <c r="B30" s="314">
        <v>0</v>
      </c>
      <c r="C30" s="315">
        <f>ROUND(B30*C26,2)</f>
        <v>0</v>
      </c>
      <c r="D30" s="315">
        <f>ROUND(B30*D26,2)</f>
        <v>0</v>
      </c>
      <c r="E30" s="316">
        <f>G20</f>
        <v>1322.8400000000001</v>
      </c>
      <c r="F30" s="317">
        <f>ROUND(E30*F26,2)</f>
        <v>0</v>
      </c>
      <c r="G30" s="317">
        <f>ROUND(E30*G26,2)</f>
        <v>1322.84</v>
      </c>
      <c r="H30" s="73"/>
      <c r="I30" s="74"/>
    </row>
    <row r="31" spans="1:7" ht="12.75">
      <c r="A31" s="75"/>
      <c r="B31" s="76"/>
      <c r="C31" s="77"/>
      <c r="D31" s="77"/>
      <c r="F31" s="11"/>
      <c r="G31" s="11"/>
    </row>
    <row r="32" spans="1:7" ht="12.75">
      <c r="A32" s="18" t="s">
        <v>185</v>
      </c>
      <c r="F32" s="11"/>
      <c r="G32" s="11"/>
    </row>
    <row r="33" spans="1:7" ht="12.75">
      <c r="A33" s="18"/>
      <c r="F33" s="11"/>
      <c r="G33" s="11"/>
    </row>
    <row r="34" spans="6:7" ht="12.75">
      <c r="F34" s="11"/>
      <c r="G34" s="11"/>
    </row>
  </sheetData>
  <sheetProtection/>
  <mergeCells count="11">
    <mergeCell ref="B18:D18"/>
    <mergeCell ref="B5:D5"/>
    <mergeCell ref="B13:D13"/>
    <mergeCell ref="B19:D19"/>
    <mergeCell ref="B24:D24"/>
    <mergeCell ref="B11:D11"/>
    <mergeCell ref="B15:D15"/>
    <mergeCell ref="B12:D12"/>
    <mergeCell ref="B14:D14"/>
    <mergeCell ref="B16:D16"/>
    <mergeCell ref="B17:D17"/>
  </mergeCells>
  <printOptions/>
  <pageMargins left="0.7874015748031497" right="0.5905511811023623" top="0.984251968503937" bottom="0.7874015748031497" header="0.5118110236220472" footer="0.5118110236220472"/>
  <pageSetup fitToHeight="1" fitToWidth="1" horizontalDpi="1200" verticalDpi="1200" orientation="portrait" paperSize="9" scale="99" r:id="rId1"/>
  <headerFooter alignWithMargins="0">
    <oddHeader>&amp;L&amp;"Arial,Standard"Anlage 3  zur Gebührenbedarfsberechnung 2013 lt. BV ......... UA Straßenreinigung</oddHeader>
    <oddFooter>&amp;R&amp;"Arial,Standard"&amp;8 15.11.2012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workbookViewId="0" topLeftCell="A2">
      <selection activeCell="C2" sqref="C2"/>
    </sheetView>
  </sheetViews>
  <sheetFormatPr defaultColWidth="10.00390625" defaultRowHeight="12.75"/>
  <cols>
    <col min="1" max="7" width="12.7109375" style="1" customWidth="1"/>
    <col min="8" max="8" width="6.7109375" style="1" customWidth="1"/>
    <col min="9" max="9" width="10.00390625" style="1" customWidth="1"/>
    <col min="10" max="10" width="4.00390625" style="1" customWidth="1"/>
    <col min="11" max="11" width="24.00390625" style="1" customWidth="1"/>
    <col min="12" max="12" width="4.00390625" style="1" customWidth="1"/>
    <col min="13" max="16384" width="10.00390625" style="1" customWidth="1"/>
  </cols>
  <sheetData>
    <row r="1" spans="1:7" ht="12.75">
      <c r="A1" s="95" t="s">
        <v>152</v>
      </c>
      <c r="B1" s="93"/>
      <c r="C1" s="93"/>
      <c r="D1" s="93"/>
      <c r="E1" s="93"/>
      <c r="F1" s="93"/>
      <c r="G1" s="94"/>
    </row>
    <row r="2" ht="30" customHeight="1">
      <c r="A2" s="231"/>
    </row>
    <row r="3" spans="1:7" ht="12.75">
      <c r="A3" s="91" t="s">
        <v>153</v>
      </c>
      <c r="B3" s="92"/>
      <c r="C3" s="92"/>
      <c r="D3" s="92"/>
      <c r="E3" s="92"/>
      <c r="F3" s="92"/>
      <c r="G3" s="92"/>
    </row>
    <row r="4" ht="12.75">
      <c r="A4" s="231"/>
    </row>
    <row r="5" spans="1:3" ht="12.75">
      <c r="A5" s="11" t="s">
        <v>154</v>
      </c>
      <c r="C5" s="232">
        <v>0.9</v>
      </c>
    </row>
    <row r="6" spans="1:3" ht="12.75">
      <c r="A6" s="11" t="s">
        <v>155</v>
      </c>
      <c r="C6" s="232">
        <v>0.1</v>
      </c>
    </row>
    <row r="7" ht="30" customHeight="1">
      <c r="A7" s="231"/>
    </row>
    <row r="8" spans="1:7" ht="12.75">
      <c r="A8" s="91" t="s">
        <v>156</v>
      </c>
      <c r="B8" s="92"/>
      <c r="C8" s="92"/>
      <c r="D8" s="92"/>
      <c r="E8" s="92"/>
      <c r="F8" s="92"/>
      <c r="G8" s="92"/>
    </row>
    <row r="10" spans="1:7" ht="15" customHeight="1">
      <c r="A10" s="78"/>
      <c r="B10" s="680" t="s">
        <v>157</v>
      </c>
      <c r="C10" s="681"/>
      <c r="D10" s="682"/>
      <c r="E10" s="683" t="s">
        <v>158</v>
      </c>
      <c r="F10" s="684"/>
      <c r="G10" s="685"/>
    </row>
    <row r="11" spans="1:7" ht="15" customHeight="1">
      <c r="A11" s="244"/>
      <c r="B11" s="245" t="s">
        <v>131</v>
      </c>
      <c r="C11" s="246" t="s">
        <v>132</v>
      </c>
      <c r="D11" s="246" t="s">
        <v>133</v>
      </c>
      <c r="E11" s="245" t="s">
        <v>131</v>
      </c>
      <c r="F11" s="246" t="s">
        <v>132</v>
      </c>
      <c r="G11" s="350" t="s">
        <v>134</v>
      </c>
    </row>
    <row r="12" spans="1:7" ht="15" customHeight="1">
      <c r="A12" s="247"/>
      <c r="B12" s="248"/>
      <c r="C12" s="249" t="s">
        <v>159</v>
      </c>
      <c r="D12" s="249" t="s">
        <v>160</v>
      </c>
      <c r="E12" s="245"/>
      <c r="F12" s="249"/>
      <c r="G12" s="249" t="s">
        <v>161</v>
      </c>
    </row>
    <row r="13" spans="1:7" ht="12.75">
      <c r="A13" s="250"/>
      <c r="B13" s="78"/>
      <c r="C13" s="251"/>
      <c r="D13" s="251"/>
      <c r="E13" s="78"/>
      <c r="F13" s="251"/>
      <c r="G13" s="251"/>
    </row>
    <row r="14" spans="1:7" ht="12.75">
      <c r="A14" s="252" t="s">
        <v>39</v>
      </c>
      <c r="B14" s="253">
        <f>SUM(C14+D16)</f>
        <v>101295</v>
      </c>
      <c r="C14" s="382">
        <v>622</v>
      </c>
      <c r="D14" s="254">
        <v>50399</v>
      </c>
      <c r="E14" s="253">
        <v>169674</v>
      </c>
      <c r="F14" s="382">
        <v>622</v>
      </c>
      <c r="G14" s="254">
        <v>50399</v>
      </c>
    </row>
    <row r="15" spans="1:7" ht="12.75">
      <c r="A15" s="252"/>
      <c r="B15" s="253"/>
      <c r="C15" s="255"/>
      <c r="D15" s="383">
        <v>50274</v>
      </c>
      <c r="E15" s="253"/>
      <c r="F15" s="382"/>
      <c r="G15" s="254">
        <v>50274</v>
      </c>
    </row>
    <row r="16" spans="1:7" ht="12.75">
      <c r="A16" s="252"/>
      <c r="B16" s="253"/>
      <c r="C16" s="254"/>
      <c r="D16" s="382">
        <f>SUM(D14:D15)</f>
        <v>100673</v>
      </c>
      <c r="E16" s="253"/>
      <c r="F16" s="382"/>
      <c r="G16" s="383">
        <v>68379</v>
      </c>
    </row>
    <row r="17" spans="1:7" ht="13.5" customHeight="1">
      <c r="A17" s="256"/>
      <c r="B17" s="257"/>
      <c r="C17" s="258"/>
      <c r="D17" s="258"/>
      <c r="E17" s="257"/>
      <c r="F17" s="384"/>
      <c r="G17" s="385">
        <f>SUM(G14:G16)</f>
        <v>169052</v>
      </c>
    </row>
    <row r="18" spans="1:7" ht="21" customHeight="1">
      <c r="A18" s="259" t="s">
        <v>14</v>
      </c>
      <c r="B18" s="260">
        <v>1</v>
      </c>
      <c r="C18" s="386">
        <f>C14/B14</f>
        <v>0.006140480773976998</v>
      </c>
      <c r="D18" s="386">
        <f>D16/B14</f>
        <v>0.993859519226023</v>
      </c>
      <c r="E18" s="260">
        <v>1</v>
      </c>
      <c r="F18" s="386">
        <f>F14/E14</f>
        <v>0.0036658533422916886</v>
      </c>
      <c r="G18" s="386">
        <f>G17/E14</f>
        <v>0.9963341466577084</v>
      </c>
    </row>
    <row r="20" ht="12.75">
      <c r="A20" s="1" t="s">
        <v>162</v>
      </c>
    </row>
    <row r="21" spans="1:6" ht="12.75">
      <c r="A21" s="11" t="s">
        <v>318</v>
      </c>
      <c r="B21" s="1" t="s">
        <v>163</v>
      </c>
      <c r="F21" s="66" t="s">
        <v>164</v>
      </c>
    </row>
    <row r="22" spans="1:6" ht="12.75">
      <c r="A22" s="11" t="s">
        <v>319</v>
      </c>
      <c r="B22" s="1" t="s">
        <v>165</v>
      </c>
      <c r="F22" s="66" t="s">
        <v>164</v>
      </c>
    </row>
    <row r="23" spans="1:6" ht="12.75">
      <c r="A23" s="11" t="s">
        <v>320</v>
      </c>
      <c r="B23" s="1" t="s">
        <v>166</v>
      </c>
      <c r="F23" s="66" t="s">
        <v>167</v>
      </c>
    </row>
    <row r="24" spans="2:11" ht="12.75">
      <c r="B24" s="1" t="s">
        <v>168</v>
      </c>
      <c r="F24" s="66" t="s">
        <v>167</v>
      </c>
      <c r="K24" s="2"/>
    </row>
    <row r="25" spans="2:11" ht="30" customHeight="1">
      <c r="B25" s="271" t="s">
        <v>321</v>
      </c>
      <c r="F25" s="66"/>
      <c r="K25" s="2"/>
    </row>
    <row r="26" spans="1:7" ht="16.5" customHeight="1">
      <c r="A26" s="79" t="s">
        <v>169</v>
      </c>
      <c r="B26" s="220"/>
      <c r="C26" s="220"/>
      <c r="D26" s="220"/>
      <c r="E26" s="389">
        <f>SUM(E27+E28+E29+E30)</f>
        <v>1120</v>
      </c>
      <c r="F26" s="390">
        <v>1</v>
      </c>
      <c r="G26" s="391"/>
    </row>
    <row r="27" spans="1:7" ht="12.75">
      <c r="A27" s="269" t="s">
        <v>13</v>
      </c>
      <c r="B27" s="165" t="s">
        <v>170</v>
      </c>
      <c r="C27" s="165"/>
      <c r="D27" s="165"/>
      <c r="E27" s="387">
        <v>850</v>
      </c>
      <c r="F27" s="359">
        <f>ROUND(E27/E26,4)</f>
        <v>0.7589</v>
      </c>
      <c r="G27" s="392" t="s">
        <v>160</v>
      </c>
    </row>
    <row r="28" spans="1:7" ht="12.75">
      <c r="A28" s="169"/>
      <c r="B28" s="11" t="s">
        <v>464</v>
      </c>
      <c r="C28" s="11"/>
      <c r="D28" s="11"/>
      <c r="E28" s="388">
        <v>160</v>
      </c>
      <c r="F28" s="359">
        <f>ROUND(E28/E26,4)</f>
        <v>0.1429</v>
      </c>
      <c r="G28" s="393" t="s">
        <v>161</v>
      </c>
    </row>
    <row r="29" spans="1:7" ht="12.75">
      <c r="A29" s="169"/>
      <c r="B29" s="11" t="s">
        <v>171</v>
      </c>
      <c r="C29" s="11"/>
      <c r="D29" s="11"/>
      <c r="E29" s="388">
        <v>85</v>
      </c>
      <c r="F29" s="359">
        <f>ROUND(E29/E26,4)</f>
        <v>0.0759</v>
      </c>
      <c r="G29" s="393" t="s">
        <v>172</v>
      </c>
    </row>
    <row r="30" spans="1:7" ht="12.75">
      <c r="A30" s="175"/>
      <c r="B30" s="176" t="s">
        <v>98</v>
      </c>
      <c r="C30" s="176"/>
      <c r="D30" s="176"/>
      <c r="E30" s="394">
        <v>25</v>
      </c>
      <c r="F30" s="359">
        <f>ROUND(E30/E26,4)</f>
        <v>0.0223</v>
      </c>
      <c r="G30" s="395" t="s">
        <v>173</v>
      </c>
    </row>
    <row r="31" spans="5:7" ht="12.75">
      <c r="E31" s="233"/>
      <c r="F31" s="234"/>
      <c r="G31" s="2"/>
    </row>
    <row r="32" spans="1:7" ht="12.75">
      <c r="A32" s="1" t="s">
        <v>162</v>
      </c>
      <c r="E32" s="233"/>
      <c r="F32" s="234"/>
      <c r="G32" s="2"/>
    </row>
    <row r="33" spans="1:6" ht="12.75">
      <c r="A33" s="11" t="s">
        <v>322</v>
      </c>
      <c r="B33" s="1" t="s">
        <v>174</v>
      </c>
      <c r="F33" s="1" t="s">
        <v>340</v>
      </c>
    </row>
    <row r="34" spans="1:6" ht="12.75">
      <c r="A34" s="11" t="s">
        <v>318</v>
      </c>
      <c r="B34" s="1" t="s">
        <v>175</v>
      </c>
      <c r="F34" s="1" t="s">
        <v>339</v>
      </c>
    </row>
    <row r="35" spans="1:6" ht="12.75">
      <c r="A35" s="11" t="s">
        <v>323</v>
      </c>
      <c r="B35" s="1" t="s">
        <v>176</v>
      </c>
      <c r="F35" s="1" t="s">
        <v>341</v>
      </c>
    </row>
    <row r="36" spans="1:6" ht="12.75">
      <c r="A36" s="11" t="s">
        <v>324</v>
      </c>
      <c r="B36" s="1" t="s">
        <v>177</v>
      </c>
      <c r="F36" s="1" t="s">
        <v>342</v>
      </c>
    </row>
    <row r="37" spans="1:6" ht="12.75">
      <c r="A37" s="11" t="s">
        <v>325</v>
      </c>
      <c r="B37" s="1" t="s">
        <v>178</v>
      </c>
      <c r="F37" s="1" t="s">
        <v>343</v>
      </c>
    </row>
    <row r="38" spans="1:6" ht="12.75">
      <c r="A38" s="11" t="s">
        <v>326</v>
      </c>
      <c r="B38" s="1" t="s">
        <v>179</v>
      </c>
      <c r="F38" s="1" t="s">
        <v>344</v>
      </c>
    </row>
    <row r="39" spans="1:6" ht="12.75">
      <c r="A39" s="11" t="s">
        <v>320</v>
      </c>
      <c r="B39" s="1" t="s">
        <v>180</v>
      </c>
      <c r="F39" s="1" t="s">
        <v>345</v>
      </c>
    </row>
    <row r="40" spans="2:6" ht="12.75">
      <c r="B40" s="1" t="s">
        <v>181</v>
      </c>
      <c r="F40" s="1" t="s">
        <v>345</v>
      </c>
    </row>
    <row r="50" ht="12.75">
      <c r="G50" s="640"/>
    </row>
  </sheetData>
  <sheetProtection/>
  <mergeCells count="2">
    <mergeCell ref="B10:D10"/>
    <mergeCell ref="E10:G10"/>
  </mergeCells>
  <printOptions/>
  <pageMargins left="0.7874015748031497" right="0.5905511811023623" top="0.984251968503937" bottom="0.7874015748031497" header="0.5118110236220472" footer="0.5118110236220472"/>
  <pageSetup fitToHeight="1" fitToWidth="1" horizontalDpi="1200" verticalDpi="1200" orientation="portrait" paperSize="9" r:id="rId1"/>
  <headerFooter alignWithMargins="0">
    <oddHeader>&amp;L&amp;"Arial,Standard"Anlage 4 zur Gebührenbedarfsberechnung 2013 lt. BV ......... UA Straßenreinigung</oddHeader>
    <oddFooter>&amp;R&amp;8 15.11.2012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Stadt Luckenwalde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Grund</dc:creator>
  <cp:keywords/>
  <dc:description/>
  <cp:lastModifiedBy>m.adomat</cp:lastModifiedBy>
  <cp:lastPrinted>2012-11-15T14:31:07Z</cp:lastPrinted>
  <dcterms:created xsi:type="dcterms:W3CDTF">2001-05-25T08:38:25Z</dcterms:created>
  <dcterms:modified xsi:type="dcterms:W3CDTF">2012-11-15T14:31:21Z</dcterms:modified>
  <cp:category/>
  <cp:version/>
  <cp:contentType/>
  <cp:contentStatus/>
</cp:coreProperties>
</file>